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Word\Section 106 Monitoring\Mark M\Planning\Development Management\Applications\Courthouse Farm, Copthorne Common\"/>
    </mc:Choice>
  </mc:AlternateContent>
  <xr:revisionPtr revIDLastSave="0" documentId="13_ncr:1_{EA50A1E8-C558-4A7B-97F5-F9DFF24A2A45}" xr6:coauthVersionLast="47" xr6:coauthVersionMax="47" xr10:uidLastSave="{00000000-0000-0000-0000-000000000000}"/>
  <bookViews>
    <workbookView xWindow="-110" yWindow="-110" windowWidth="19420" windowHeight="10300" tabRatio="793" xr2:uid="{B7D5EB44-667B-4FFF-9340-2391C684B5A0}"/>
  </bookViews>
  <sheets>
    <sheet name="Development Proposal" sheetId="1" r:id="rId1"/>
    <sheet name="Health" sheetId="2" r:id="rId2"/>
    <sheet name="Community Facilities" sheetId="4" r:id="rId3"/>
    <sheet name="Open Space" sheetId="5" r:id="rId4"/>
    <sheet name="Police" sheetId="3" r:id="rId5"/>
    <sheet name="Ashdown Forest" sheetId="6" r:id="rId6"/>
    <sheet name="Monitoring Fee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5" l="1"/>
  <c r="M10" i="5"/>
  <c r="S23" i="1"/>
  <c r="M7" i="5"/>
  <c r="K7" i="4"/>
  <c r="H10" i="4"/>
  <c r="K5" i="4"/>
  <c r="R19" i="1"/>
  <c r="R22" i="1" s="1"/>
  <c r="R23" i="1" l="1"/>
  <c r="S38" i="1"/>
  <c r="R37" i="1"/>
  <c r="R36" i="1"/>
  <c r="Q37" i="1"/>
  <c r="Q36" i="1"/>
  <c r="Q17" i="1"/>
  <c r="M24" i="5" l="1"/>
  <c r="M21" i="5"/>
  <c r="M18" i="5"/>
  <c r="J27" i="1"/>
  <c r="J26" i="1"/>
  <c r="L39" i="1" l="1"/>
  <c r="O18" i="1"/>
  <c r="O19" i="1"/>
  <c r="V19" i="1" s="1"/>
  <c r="O20" i="1"/>
  <c r="V20" i="1" s="1"/>
  <c r="O21" i="1"/>
  <c r="V21" i="1" s="1"/>
  <c r="O17" i="1"/>
  <c r="V17" i="1" s="1"/>
  <c r="H22" i="1"/>
  <c r="F27" i="1" s="1"/>
  <c r="F22" i="1"/>
  <c r="D22" i="1"/>
  <c r="W37" i="1"/>
  <c r="W36" i="1"/>
  <c r="V37" i="1"/>
  <c r="V36" i="1"/>
  <c r="O38" i="1"/>
  <c r="O37" i="1"/>
  <c r="O36" i="1"/>
  <c r="S18" i="1"/>
  <c r="S19" i="1"/>
  <c r="S20" i="1"/>
  <c r="S21" i="1"/>
  <c r="S17" i="1"/>
  <c r="R18" i="1"/>
  <c r="R20" i="1"/>
  <c r="R21" i="1"/>
  <c r="R17" i="1"/>
  <c r="Q18" i="1"/>
  <c r="Q19" i="1"/>
  <c r="Q20" i="1"/>
  <c r="Q21" i="1"/>
  <c r="F39" i="1"/>
  <c r="H39" i="1"/>
  <c r="J39" i="1"/>
  <c r="D39" i="1"/>
  <c r="Q23" i="1" l="1"/>
  <c r="T23" i="1" s="1"/>
  <c r="V18" i="1"/>
  <c r="V23" i="1" s="1"/>
  <c r="O23" i="1"/>
  <c r="F26" i="1"/>
  <c r="V22" i="1"/>
  <c r="L40" i="1"/>
  <c r="J28" i="1"/>
  <c r="W38" i="1"/>
  <c r="Q39" i="1"/>
  <c r="R39" i="1"/>
  <c r="V38" i="1"/>
  <c r="W39" i="1" s="1"/>
  <c r="J40" i="1"/>
  <c r="S22" i="1"/>
  <c r="Q22" i="1"/>
  <c r="O39" i="1"/>
  <c r="O22" i="1"/>
  <c r="T22" i="1" l="1"/>
  <c r="D4" i="4" s="1"/>
  <c r="T39" i="1"/>
  <c r="F28" i="1"/>
  <c r="I6" i="5" l="1"/>
  <c r="I7" i="5" s="1"/>
  <c r="I17" i="5"/>
  <c r="I18" i="5" s="1"/>
  <c r="E23" i="5"/>
  <c r="E24" i="5" s="1"/>
  <c r="E20" i="5"/>
  <c r="E21" i="5" s="1"/>
  <c r="I12" i="5"/>
  <c r="I13" i="5" s="1"/>
  <c r="I9" i="5"/>
  <c r="I10" i="5" s="1"/>
  <c r="E9" i="5"/>
  <c r="I20" i="5"/>
  <c r="C20" i="5"/>
  <c r="I19" i="5"/>
  <c r="C23" i="5"/>
  <c r="I23" i="5"/>
  <c r="E6" i="5"/>
  <c r="E17" i="5"/>
  <c r="E12" i="5"/>
  <c r="D7" i="4"/>
  <c r="F4" i="4"/>
  <c r="D5" i="4"/>
  <c r="H4" i="4"/>
  <c r="G12" i="5"/>
  <c r="G6" i="5"/>
  <c r="G9" i="5"/>
  <c r="G17" i="5"/>
</calcChain>
</file>

<file path=xl/sharedStrings.xml><?xml version="1.0" encoding="utf-8"?>
<sst xmlns="http://schemas.openxmlformats.org/spreadsheetml/2006/main" count="91" uniqueCount="69">
  <si>
    <t>Mid Sussex District Council</t>
  </si>
  <si>
    <t>Developer Contribution Calculator</t>
  </si>
  <si>
    <t>Application reference</t>
  </si>
  <si>
    <t>Parish</t>
  </si>
  <si>
    <t xml:space="preserve">Number of dwellings proposed </t>
  </si>
  <si>
    <t>(including older persons' housing)</t>
  </si>
  <si>
    <t xml:space="preserve">Dwellings proposed </t>
  </si>
  <si>
    <t>Dwellings demolished</t>
  </si>
  <si>
    <t>Private dwellings</t>
  </si>
  <si>
    <t xml:space="preserve">Affordable dwellings </t>
  </si>
  <si>
    <t>Dwelling size</t>
  </si>
  <si>
    <t>Number</t>
  </si>
  <si>
    <t>Total dwellings</t>
  </si>
  <si>
    <t>Occupancy rates</t>
  </si>
  <si>
    <t>Occupancy Private</t>
  </si>
  <si>
    <t>Occupancy Affordable</t>
  </si>
  <si>
    <t>Occupancy demolished</t>
  </si>
  <si>
    <t>Total</t>
  </si>
  <si>
    <t>Occupancy actual</t>
  </si>
  <si>
    <t>1-bed</t>
  </si>
  <si>
    <t>2-bed</t>
  </si>
  <si>
    <t>3-bed</t>
  </si>
  <si>
    <t>4-bed</t>
  </si>
  <si>
    <t>5+-bed</t>
  </si>
  <si>
    <t>Totals</t>
  </si>
  <si>
    <t>Bedspace</t>
  </si>
  <si>
    <t>Dwelling proposed</t>
  </si>
  <si>
    <t>Bedspace proposed</t>
  </si>
  <si>
    <t>Bedpsace demolished</t>
  </si>
  <si>
    <t>Net dwellings proposed</t>
  </si>
  <si>
    <t>Net bedspace proposed</t>
  </si>
  <si>
    <t>Older person's housing</t>
  </si>
  <si>
    <t>Housing with support</t>
  </si>
  <si>
    <t>Housing with care</t>
  </si>
  <si>
    <t>Residential and Care Bedspaces</t>
  </si>
  <si>
    <t>Affordable dwellings</t>
  </si>
  <si>
    <t>Occupancy housing with care</t>
  </si>
  <si>
    <t xml:space="preserve">Occupancy Private </t>
  </si>
  <si>
    <t xml:space="preserve">Occupancy Affordable </t>
  </si>
  <si>
    <t>Occupancy Bedspace</t>
  </si>
  <si>
    <t>Private</t>
  </si>
  <si>
    <t>Affordable</t>
  </si>
  <si>
    <t>Community Buildings</t>
  </si>
  <si>
    <t>Average community building sqm per person</t>
  </si>
  <si>
    <t>Community building cost per sqm</t>
  </si>
  <si>
    <t>Local Community Infrastructure</t>
  </si>
  <si>
    <t>Local community cost per person</t>
  </si>
  <si>
    <t>Formal Outdoor Space</t>
  </si>
  <si>
    <t>Outdoor sports</t>
  </si>
  <si>
    <t>Outdoor sports quantity guideline</t>
  </si>
  <si>
    <t>Outdoor sports cost per sqm</t>
  </si>
  <si>
    <t>Equipped / Designated Play Areas</t>
  </si>
  <si>
    <t>Equipped / Designated Play Areas quantity guideline</t>
  </si>
  <si>
    <t>Equipped / Designated Play Areas cost per sqm</t>
  </si>
  <si>
    <t>Other Outdoor Provision</t>
  </si>
  <si>
    <t>Other Outdoor Provision quantity guideline</t>
  </si>
  <si>
    <t>Other Outdoor Provision cost per sqm</t>
  </si>
  <si>
    <t>Informal Outdoor Space</t>
  </si>
  <si>
    <t>Parks and Gardens</t>
  </si>
  <si>
    <t>Parks and Garden quantity guideline</t>
  </si>
  <si>
    <t>Parks and gardens cost per sqm</t>
  </si>
  <si>
    <t>Amenity Green Space quantity guideline</t>
  </si>
  <si>
    <t>Amenity Green Space cost per sqm</t>
  </si>
  <si>
    <t>Natural and Semi-Natural Space quantity guideline</t>
  </si>
  <si>
    <t>Natural and Semi-Natural Space cost per sqm</t>
  </si>
  <si>
    <t>Total exc. 1bed</t>
  </si>
  <si>
    <t>DM/25/3021</t>
  </si>
  <si>
    <t>Worth</t>
  </si>
  <si>
    <t>Land to the West of Courthouse Farm, Copthorne Common, Copthorne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</si>
</sst>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0\ &quot;sqm&quot;"/>
    <numFmt numFmtId="166" formatCode="0.00\ &quot;ha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indexed="64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indexed="64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2" xfId="0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1" xfId="0" applyFont="1" applyFill="1" applyBorder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4" borderId="0" xfId="0" applyFont="1" applyFill="1"/>
    <xf numFmtId="44" fontId="2" fillId="4" borderId="0" xfId="0" applyNumberFormat="1" applyFont="1" applyFill="1"/>
    <xf numFmtId="164" fontId="2" fillId="0" borderId="0" xfId="1" applyNumberFormat="1" applyFont="1"/>
    <xf numFmtId="164" fontId="2" fillId="4" borderId="0" xfId="0" applyNumberFormat="1" applyFont="1" applyFill="1"/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6" fontId="4" fillId="0" borderId="0" xfId="0" applyNumberFormat="1" applyFont="1"/>
    <xf numFmtId="44" fontId="4" fillId="0" borderId="0" xfId="1" applyFont="1" applyFill="1"/>
    <xf numFmtId="164" fontId="2" fillId="0" borderId="0" xfId="0" applyNumberFormat="1" applyFont="1"/>
    <xf numFmtId="44" fontId="4" fillId="0" borderId="0" xfId="0" applyNumberFormat="1" applyFont="1"/>
    <xf numFmtId="166" fontId="5" fillId="0" borderId="0" xfId="0" applyNumberFormat="1" applyFont="1" applyAlignment="1">
      <alignment horizontal="right" vertical="top"/>
    </xf>
    <xf numFmtId="165" fontId="2" fillId="0" borderId="0" xfId="0" applyNumberFormat="1" applyFont="1"/>
    <xf numFmtId="0" fontId="3" fillId="0" borderId="8" xfId="0" applyFont="1" applyBorder="1"/>
    <xf numFmtId="164" fontId="2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4" fontId="2" fillId="0" borderId="0" xfId="1" applyFont="1"/>
    <xf numFmtId="2" fontId="2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BE3FB020-03FA-4F3B-B0FA-CD9334F18BD8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1</xdr:row>
      <xdr:rowOff>0</xdr:rowOff>
    </xdr:from>
    <xdr:to>
      <xdr:col>2</xdr:col>
      <xdr:colOff>105274</xdr:colOff>
      <xdr:row>4</xdr:row>
      <xdr:rowOff>58704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E8F742-684F-FAA9-F764-8FADC348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" y="180975"/>
          <a:ext cx="1080000" cy="601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istrict Plan">
      <a:dk1>
        <a:sysClr val="windowText" lastClr="000000"/>
      </a:dk1>
      <a:lt1>
        <a:sysClr val="window" lastClr="FFFFFF"/>
      </a:lt1>
      <a:dk2>
        <a:srgbClr val="01488F"/>
      </a:dk2>
      <a:lt2>
        <a:srgbClr val="57C6D4"/>
      </a:lt2>
      <a:accent1>
        <a:srgbClr val="6E2B88"/>
      </a:accent1>
      <a:accent2>
        <a:srgbClr val="00B1EC"/>
      </a:accent2>
      <a:accent3>
        <a:srgbClr val="DCB258"/>
      </a:accent3>
      <a:accent4>
        <a:srgbClr val="8ACA85"/>
      </a:accent4>
      <a:accent5>
        <a:srgbClr val="1D9D76"/>
      </a:accent5>
      <a:accent6>
        <a:srgbClr val="686B9F"/>
      </a:accent6>
      <a:hlink>
        <a:srgbClr val="E98445"/>
      </a:hlink>
      <a:folHlink>
        <a:srgbClr val="E07D8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C247-0263-458B-B9A8-B7E56E714A6F}">
  <dimension ref="B2:W40"/>
  <sheetViews>
    <sheetView tabSelected="1" workbookViewId="0">
      <selection activeCell="F6" sqref="F6"/>
    </sheetView>
  </sheetViews>
  <sheetFormatPr defaultColWidth="8.7265625" defaultRowHeight="14" x14ac:dyDescent="0.3"/>
  <cols>
    <col min="1" max="1" width="4.7265625" style="1" customWidth="1"/>
    <col min="2" max="2" width="13.81640625" style="1" customWidth="1"/>
    <col min="3" max="3" width="3.54296875" style="1" customWidth="1"/>
    <col min="4" max="4" width="20.54296875" style="1" customWidth="1"/>
    <col min="5" max="5" width="2.81640625" style="1" customWidth="1"/>
    <col min="6" max="6" width="20.54296875" style="1" customWidth="1"/>
    <col min="7" max="7" width="3.1796875" style="1" customWidth="1"/>
    <col min="8" max="8" width="20.54296875" style="1" customWidth="1"/>
    <col min="9" max="9" width="3.54296875" style="1" customWidth="1"/>
    <col min="10" max="10" width="20.54296875" style="1" customWidth="1"/>
    <col min="11" max="11" width="3.54296875" style="1" customWidth="1"/>
    <col min="12" max="12" width="20.54296875" style="1" customWidth="1"/>
    <col min="13" max="13" width="8.7265625" style="1"/>
    <col min="14" max="14" width="14.1796875" style="1" customWidth="1"/>
    <col min="15" max="15" width="15.453125" style="1" bestFit="1" customWidth="1"/>
    <col min="16" max="16" width="11" style="1" customWidth="1"/>
    <col min="17" max="17" width="20" style="1" bestFit="1" customWidth="1"/>
    <col min="18" max="18" width="23.1796875" style="1" bestFit="1" customWidth="1"/>
    <col min="19" max="19" width="23.7265625" style="1" bestFit="1" customWidth="1"/>
    <col min="20" max="16384" width="8.7265625" style="1"/>
  </cols>
  <sheetData>
    <row r="2" spans="2:22" x14ac:dyDescent="0.3">
      <c r="D2" s="1" t="s">
        <v>0</v>
      </c>
    </row>
    <row r="3" spans="2:22" x14ac:dyDescent="0.3">
      <c r="D3" s="1" t="s">
        <v>1</v>
      </c>
    </row>
    <row r="5" spans="2:22" x14ac:dyDescent="0.3">
      <c r="F5" s="1" t="s">
        <v>68</v>
      </c>
    </row>
    <row r="6" spans="2:22" x14ac:dyDescent="0.3">
      <c r="B6" s="1" t="s">
        <v>2</v>
      </c>
      <c r="F6" s="2" t="s">
        <v>66</v>
      </c>
    </row>
    <row r="8" spans="2:22" x14ac:dyDescent="0.3">
      <c r="B8" s="1" t="s">
        <v>3</v>
      </c>
      <c r="F8" s="2" t="s">
        <v>67</v>
      </c>
    </row>
    <row r="10" spans="2:22" x14ac:dyDescent="0.3">
      <c r="B10" s="1" t="s">
        <v>4</v>
      </c>
      <c r="F10" s="2">
        <v>86</v>
      </c>
    </row>
    <row r="11" spans="2:22" x14ac:dyDescent="0.3">
      <c r="B11" s="1" t="s">
        <v>5</v>
      </c>
    </row>
    <row r="13" spans="2:22" x14ac:dyDescent="0.3">
      <c r="D13" s="3" t="s">
        <v>6</v>
      </c>
      <c r="H13" s="3" t="s">
        <v>7</v>
      </c>
    </row>
    <row r="14" spans="2:22" x14ac:dyDescent="0.3">
      <c r="D14" s="1" t="s">
        <v>5</v>
      </c>
    </row>
    <row r="15" spans="2:22" x14ac:dyDescent="0.3">
      <c r="D15" s="1" t="s">
        <v>8</v>
      </c>
      <c r="F15" s="1" t="s">
        <v>9</v>
      </c>
    </row>
    <row r="16" spans="2:22" x14ac:dyDescent="0.3">
      <c r="B16" s="4" t="s">
        <v>10</v>
      </c>
      <c r="D16" s="25" t="s">
        <v>11</v>
      </c>
      <c r="F16" s="10" t="s">
        <v>11</v>
      </c>
      <c r="G16" s="3"/>
      <c r="H16" s="10" t="s">
        <v>11</v>
      </c>
      <c r="O16" s="1" t="s">
        <v>12</v>
      </c>
      <c r="P16" s="1" t="s">
        <v>13</v>
      </c>
      <c r="Q16" s="1" t="s">
        <v>14</v>
      </c>
      <c r="R16" s="1" t="s">
        <v>15</v>
      </c>
      <c r="S16" s="1" t="s">
        <v>16</v>
      </c>
      <c r="T16" s="1" t="s">
        <v>17</v>
      </c>
      <c r="V16" s="1" t="s">
        <v>18</v>
      </c>
    </row>
    <row r="17" spans="2:22" x14ac:dyDescent="0.3">
      <c r="B17" s="6" t="s">
        <v>19</v>
      </c>
      <c r="D17" s="9">
        <v>0</v>
      </c>
      <c r="F17" s="9"/>
      <c r="H17" s="9"/>
      <c r="O17" s="1">
        <f>D17+F17-H17</f>
        <v>0</v>
      </c>
      <c r="P17" s="1">
        <v>1.3</v>
      </c>
      <c r="Q17" s="1">
        <f>D17*P17</f>
        <v>0</v>
      </c>
      <c r="R17" s="1">
        <f>F17*P17</f>
        <v>0</v>
      </c>
      <c r="S17" s="1">
        <f>H17*P17</f>
        <v>0</v>
      </c>
      <c r="V17" s="1">
        <f>O17*P17</f>
        <v>0</v>
      </c>
    </row>
    <row r="18" spans="2:22" x14ac:dyDescent="0.3">
      <c r="B18" s="8" t="s">
        <v>20</v>
      </c>
      <c r="D18" s="9">
        <v>0</v>
      </c>
      <c r="F18" s="9"/>
      <c r="H18" s="9"/>
      <c r="O18" s="1">
        <f t="shared" ref="O18:O21" si="0">D18+F18-H18</f>
        <v>0</v>
      </c>
      <c r="P18" s="1">
        <v>1.9</v>
      </c>
      <c r="Q18" s="1">
        <f t="shared" ref="Q18:Q21" si="1">D18*P18</f>
        <v>0</v>
      </c>
      <c r="R18" s="1">
        <f t="shared" ref="R18:R21" si="2">F18*P18</f>
        <v>0</v>
      </c>
      <c r="S18" s="1">
        <f t="shared" ref="S18:S21" si="3">H18*P18</f>
        <v>0</v>
      </c>
      <c r="V18" s="1">
        <f t="shared" ref="V18:V21" si="4">O18*P18</f>
        <v>0</v>
      </c>
    </row>
    <row r="19" spans="2:22" x14ac:dyDescent="0.3">
      <c r="B19" s="5" t="s">
        <v>21</v>
      </c>
      <c r="D19" s="9">
        <v>60</v>
      </c>
      <c r="F19" s="9">
        <v>26</v>
      </c>
      <c r="H19" s="9"/>
      <c r="O19" s="1">
        <f t="shared" si="0"/>
        <v>86</v>
      </c>
      <c r="P19" s="1">
        <v>2.5</v>
      </c>
      <c r="Q19" s="1">
        <f t="shared" si="1"/>
        <v>150</v>
      </c>
      <c r="R19" s="1">
        <f>F19*P19</f>
        <v>65</v>
      </c>
      <c r="S19" s="1">
        <f t="shared" si="3"/>
        <v>0</v>
      </c>
      <c r="V19" s="1">
        <f t="shared" si="4"/>
        <v>215</v>
      </c>
    </row>
    <row r="20" spans="2:22" x14ac:dyDescent="0.3">
      <c r="B20" s="7" t="s">
        <v>22</v>
      </c>
      <c r="D20" s="9"/>
      <c r="F20" s="9"/>
      <c r="H20" s="9"/>
      <c r="O20" s="1">
        <f t="shared" si="0"/>
        <v>0</v>
      </c>
      <c r="P20" s="1">
        <v>2.9</v>
      </c>
      <c r="Q20" s="1">
        <f t="shared" si="1"/>
        <v>0</v>
      </c>
      <c r="R20" s="1">
        <f t="shared" si="2"/>
        <v>0</v>
      </c>
      <c r="S20" s="1">
        <f t="shared" si="3"/>
        <v>0</v>
      </c>
      <c r="V20" s="1">
        <f t="shared" si="4"/>
        <v>0</v>
      </c>
    </row>
    <row r="21" spans="2:22" x14ac:dyDescent="0.3">
      <c r="B21" s="29" t="s">
        <v>23</v>
      </c>
      <c r="D21" s="9"/>
      <c r="F21" s="9"/>
      <c r="H21" s="9"/>
      <c r="O21" s="1">
        <f t="shared" si="0"/>
        <v>0</v>
      </c>
      <c r="P21" s="1">
        <v>3.3</v>
      </c>
      <c r="Q21" s="1">
        <f t="shared" si="1"/>
        <v>0</v>
      </c>
      <c r="R21" s="1">
        <f t="shared" si="2"/>
        <v>0</v>
      </c>
      <c r="S21" s="1">
        <f t="shared" si="3"/>
        <v>0</v>
      </c>
      <c r="V21" s="1">
        <f t="shared" si="4"/>
        <v>0</v>
      </c>
    </row>
    <row r="22" spans="2:22" x14ac:dyDescent="0.3">
      <c r="B22" s="1" t="s">
        <v>24</v>
      </c>
      <c r="D22" s="1">
        <f>SUM(D17:D21)</f>
        <v>60</v>
      </c>
      <c r="F22" s="1">
        <f>SUM(F16:F21)</f>
        <v>26</v>
      </c>
      <c r="H22" s="1">
        <f>SUM(H17:H21)</f>
        <v>0</v>
      </c>
      <c r="N22" s="1" t="s">
        <v>17</v>
      </c>
      <c r="O22" s="1">
        <f>SUM(O17:O21)</f>
        <v>86</v>
      </c>
      <c r="Q22" s="1">
        <f>SUM(Q17:Q21)</f>
        <v>150</v>
      </c>
      <c r="R22" s="1">
        <f>SUM(R17:R21)*0.67</f>
        <v>43.550000000000004</v>
      </c>
      <c r="S22" s="1">
        <f>SUM(S17:S21)</f>
        <v>0</v>
      </c>
      <c r="T22" s="1">
        <f>Q22+R22-S22</f>
        <v>193.55</v>
      </c>
      <c r="V22" s="1">
        <f>SUM(V17:V20)</f>
        <v>215</v>
      </c>
    </row>
    <row r="23" spans="2:22" x14ac:dyDescent="0.3">
      <c r="N23" s="32" t="s">
        <v>65</v>
      </c>
      <c r="O23" s="32">
        <f>SUM(O18:O21)</f>
        <v>86</v>
      </c>
      <c r="P23" s="32"/>
      <c r="Q23" s="32">
        <f>SUM(Q18:Q21)</f>
        <v>150</v>
      </c>
      <c r="R23" s="32">
        <f>SUM(R18:R21)*0.67</f>
        <v>43.550000000000004</v>
      </c>
      <c r="S23" s="32">
        <f>SUM(S18:S21)</f>
        <v>0</v>
      </c>
      <c r="T23" s="32">
        <f>Q23+R23-S23</f>
        <v>193.55</v>
      </c>
      <c r="U23" s="32"/>
      <c r="V23" s="32">
        <f>SUM(V18:V21)</f>
        <v>215</v>
      </c>
    </row>
    <row r="24" spans="2:22" x14ac:dyDescent="0.3">
      <c r="B24" s="29" t="s">
        <v>25</v>
      </c>
      <c r="D24" s="9"/>
      <c r="F24" s="9"/>
      <c r="H24" s="9"/>
    </row>
    <row r="26" spans="2:22" x14ac:dyDescent="0.3">
      <c r="D26" s="11" t="s">
        <v>26</v>
      </c>
      <c r="F26" s="12">
        <f>D22+F22</f>
        <v>86</v>
      </c>
      <c r="H26" s="11" t="s">
        <v>27</v>
      </c>
      <c r="J26" s="13">
        <f>D24+F24</f>
        <v>0</v>
      </c>
    </row>
    <row r="27" spans="2:22" x14ac:dyDescent="0.3">
      <c r="D27" s="11" t="s">
        <v>7</v>
      </c>
      <c r="F27" s="13">
        <f>H22</f>
        <v>0</v>
      </c>
      <c r="H27" s="11" t="s">
        <v>28</v>
      </c>
      <c r="J27" s="13">
        <f>H24</f>
        <v>0</v>
      </c>
    </row>
    <row r="28" spans="2:22" x14ac:dyDescent="0.3">
      <c r="D28" s="11" t="s">
        <v>29</v>
      </c>
      <c r="F28" s="13">
        <f>F26-F27</f>
        <v>86</v>
      </c>
      <c r="H28" s="11" t="s">
        <v>30</v>
      </c>
      <c r="J28" s="13">
        <f>J26-J27</f>
        <v>0</v>
      </c>
    </row>
    <row r="32" spans="2:22" x14ac:dyDescent="0.3">
      <c r="D32" s="3" t="s">
        <v>31</v>
      </c>
    </row>
    <row r="33" spans="2:23" x14ac:dyDescent="0.3">
      <c r="D33" s="1" t="s">
        <v>32</v>
      </c>
      <c r="H33" s="1" t="s">
        <v>33</v>
      </c>
      <c r="L33" s="1" t="s">
        <v>34</v>
      </c>
    </row>
    <row r="34" spans="2:23" x14ac:dyDescent="0.3">
      <c r="D34" s="1" t="s">
        <v>8</v>
      </c>
      <c r="F34" s="1" t="s">
        <v>35</v>
      </c>
      <c r="H34" s="1" t="s">
        <v>8</v>
      </c>
      <c r="J34" s="1" t="s">
        <v>35</v>
      </c>
      <c r="V34" s="1" t="s">
        <v>36</v>
      </c>
    </row>
    <row r="35" spans="2:23" x14ac:dyDescent="0.3">
      <c r="B35" s="4" t="s">
        <v>10</v>
      </c>
      <c r="D35" s="10" t="s">
        <v>11</v>
      </c>
      <c r="F35" s="10" t="s">
        <v>11</v>
      </c>
      <c r="G35" s="3"/>
      <c r="H35" s="10" t="s">
        <v>11</v>
      </c>
      <c r="J35" s="10" t="s">
        <v>11</v>
      </c>
      <c r="K35" s="3"/>
      <c r="L35" s="10" t="s">
        <v>11</v>
      </c>
      <c r="O35" s="1" t="s">
        <v>12</v>
      </c>
      <c r="P35" s="1" t="s">
        <v>13</v>
      </c>
      <c r="Q35" s="1" t="s">
        <v>37</v>
      </c>
      <c r="R35" s="1" t="s">
        <v>38</v>
      </c>
      <c r="S35" s="1" t="s">
        <v>39</v>
      </c>
      <c r="T35" s="1" t="s">
        <v>17</v>
      </c>
      <c r="V35" s="1" t="s">
        <v>40</v>
      </c>
      <c r="W35" s="1" t="s">
        <v>41</v>
      </c>
    </row>
    <row r="36" spans="2:23" x14ac:dyDescent="0.3">
      <c r="B36" s="6" t="s">
        <v>19</v>
      </c>
      <c r="D36" s="9"/>
      <c r="F36" s="9"/>
      <c r="H36" s="9"/>
      <c r="J36" s="9"/>
      <c r="O36" s="1">
        <f>D36+F36+H36+J36+L36</f>
        <v>0</v>
      </c>
      <c r="P36" s="1">
        <v>1.3</v>
      </c>
      <c r="Q36" s="1">
        <f>(D36+H36)*P36</f>
        <v>0</v>
      </c>
      <c r="R36" s="1">
        <f>(F36+J36)*P36</f>
        <v>0</v>
      </c>
      <c r="V36" s="1">
        <f>H36*P36</f>
        <v>0</v>
      </c>
      <c r="W36" s="1">
        <f>J36*P36</f>
        <v>0</v>
      </c>
    </row>
    <row r="37" spans="2:23" x14ac:dyDescent="0.3">
      <c r="B37" s="28" t="s">
        <v>20</v>
      </c>
      <c r="D37" s="9"/>
      <c r="F37" s="9"/>
      <c r="H37" s="9"/>
      <c r="J37" s="9"/>
      <c r="O37" s="1">
        <f>D37+F37+H37+J37+L37</f>
        <v>0</v>
      </c>
      <c r="P37" s="1">
        <v>1.9</v>
      </c>
      <c r="Q37" s="1">
        <f>(D37+H37)*P37</f>
        <v>0</v>
      </c>
      <c r="R37" s="1">
        <f>(F37+J37)*P37</f>
        <v>0</v>
      </c>
      <c r="V37" s="1">
        <f>H37*P37</f>
        <v>0</v>
      </c>
      <c r="W37" s="1">
        <f>J37*P37</f>
        <v>0</v>
      </c>
    </row>
    <row r="38" spans="2:23" x14ac:dyDescent="0.3">
      <c r="B38" s="29" t="s">
        <v>25</v>
      </c>
      <c r="L38" s="9"/>
      <c r="O38" s="1">
        <f>L38</f>
        <v>0</v>
      </c>
      <c r="P38" s="1">
        <v>1</v>
      </c>
      <c r="S38" s="1">
        <f>P38*O38</f>
        <v>0</v>
      </c>
      <c r="V38" s="1">
        <f>SUM(V36:V37)</f>
        <v>0</v>
      </c>
      <c r="W38" s="1">
        <f>SUM(W36:W37)*0.67</f>
        <v>0</v>
      </c>
    </row>
    <row r="39" spans="2:23" x14ac:dyDescent="0.3">
      <c r="B39" s="1" t="s">
        <v>24</v>
      </c>
      <c r="D39" s="1">
        <f>SUM(D36:D37)</f>
        <v>0</v>
      </c>
      <c r="F39" s="1">
        <f t="shared" ref="F39:J39" si="5">SUM(F36:F37)</f>
        <v>0</v>
      </c>
      <c r="H39" s="1">
        <f t="shared" si="5"/>
        <v>0</v>
      </c>
      <c r="J39" s="1">
        <f t="shared" si="5"/>
        <v>0</v>
      </c>
      <c r="L39" s="1">
        <f>L38</f>
        <v>0</v>
      </c>
      <c r="N39" s="1" t="s">
        <v>17</v>
      </c>
      <c r="O39" s="1">
        <f>SUM(O36:O37)</f>
        <v>0</v>
      </c>
      <c r="Q39" s="1">
        <f>SUM(Q36:Q37)</f>
        <v>0</v>
      </c>
      <c r="R39" s="1">
        <f>SUM(R36:R37)*0.67</f>
        <v>0</v>
      </c>
      <c r="T39" s="31">
        <f>SUM(Q39:R39)</f>
        <v>0</v>
      </c>
      <c r="W39" s="1">
        <f>V38+W38</f>
        <v>0</v>
      </c>
    </row>
    <row r="40" spans="2:23" x14ac:dyDescent="0.3">
      <c r="J40" s="1">
        <f>SUM(D39:J39)</f>
        <v>0</v>
      </c>
      <c r="L40" s="1">
        <f>SUM(D39+F39+H39+J39+L39)</f>
        <v>0</v>
      </c>
    </row>
  </sheetData>
  <conditionalFormatting sqref="F26">
    <cfRule type="expression" dxfId="8" priority="1">
      <formula>$F$26=$F$10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2DFE-DBC4-4BB3-9750-8697C81C8886}">
  <dimension ref="A1"/>
  <sheetViews>
    <sheetView topLeftCell="A10"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984C-CD75-49D9-B020-0EBC87982C89}">
  <sheetPr>
    <tabColor theme="9" tint="0.39997558519241921"/>
  </sheetPr>
  <dimension ref="B4:K10"/>
  <sheetViews>
    <sheetView workbookViewId="0">
      <selection activeCell="H10" sqref="H10"/>
    </sheetView>
  </sheetViews>
  <sheetFormatPr defaultColWidth="8.7265625" defaultRowHeight="14" x14ac:dyDescent="0.3"/>
  <cols>
    <col min="1" max="1" width="8.7265625" style="1"/>
    <col min="2" max="2" width="29.453125" style="1" bestFit="1" customWidth="1"/>
    <col min="3" max="3" width="3.54296875" style="1" customWidth="1"/>
    <col min="4" max="4" width="25.54296875" style="1" customWidth="1"/>
    <col min="5" max="5" width="3.54296875" style="1" customWidth="1"/>
    <col min="6" max="6" width="8.54296875" style="17" customWidth="1"/>
    <col min="7" max="7" width="3.54296875" style="17" customWidth="1"/>
    <col min="8" max="8" width="15.36328125" style="1" customWidth="1"/>
    <col min="9" max="9" width="3.54296875" style="1" customWidth="1"/>
    <col min="10" max="10" width="27.08984375" style="33" customWidth="1"/>
    <col min="11" max="11" width="11" style="1" bestFit="1" customWidth="1"/>
    <col min="12" max="16384" width="8.7265625" style="1"/>
  </cols>
  <sheetData>
    <row r="4" spans="2:11" ht="28" x14ac:dyDescent="0.3">
      <c r="B4" s="11" t="s">
        <v>42</v>
      </c>
      <c r="D4" s="16">
        <f>('Development Proposal'!T22)*K4*K5</f>
        <v>130878.51000000002</v>
      </c>
      <c r="F4" s="17" t="str">
        <f>IF('Development Proposal'!F28&gt;199, "Or", " ")</f>
        <v xml:space="preserve"> </v>
      </c>
      <c r="H4" s="11" t="str">
        <f>IF('Development Proposal'!F28&gt;199, "On-site provision", " ")</f>
        <v xml:space="preserve"> </v>
      </c>
      <c r="J4" s="33" t="s">
        <v>43</v>
      </c>
      <c r="K4" s="1">
        <v>0.23</v>
      </c>
    </row>
    <row r="5" spans="2:11" ht="28" x14ac:dyDescent="0.3">
      <c r="B5" s="11"/>
      <c r="D5" s="27" t="str">
        <f>IF('Development Proposal'!F28&gt;199, "Land may be required", " ")</f>
        <v xml:space="preserve"> </v>
      </c>
      <c r="J5" s="33" t="s">
        <v>44</v>
      </c>
      <c r="K5" s="15">
        <f>2940</f>
        <v>2940</v>
      </c>
    </row>
    <row r="6" spans="2:11" x14ac:dyDescent="0.3">
      <c r="B6" s="11"/>
    </row>
    <row r="7" spans="2:11" ht="28" x14ac:dyDescent="0.3">
      <c r="B7" s="11" t="s">
        <v>45</v>
      </c>
      <c r="D7" s="26">
        <f>IF('Development Proposal'!F28&gt;999, "On-site provision", ('Development Proposal'!T22)*K7)</f>
        <v>93097.55</v>
      </c>
      <c r="J7" s="33" t="s">
        <v>46</v>
      </c>
      <c r="K7" s="30">
        <f>481</f>
        <v>481</v>
      </c>
    </row>
    <row r="10" spans="2:11" x14ac:dyDescent="0.3">
      <c r="H10" s="1">
        <f>0.23*2940</f>
        <v>676.2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B0D6464-6DA7-46BA-BAFE-817158AC9ADA}">
            <xm:f>'Development Proposal'!$F$28&gt;999</xm:f>
            <x14:dxf>
              <fill>
                <patternFill>
                  <bgColor theme="7" tint="0.79998168889431442"/>
                </patternFill>
              </fill>
            </x14:dxf>
          </x14:cfRule>
          <xm:sqref>H4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0F15-A8A2-4936-9F19-B4A31C80ED95}">
  <sheetPr>
    <tabColor theme="7" tint="-0.249977111117893"/>
  </sheetPr>
  <dimension ref="B4:M24"/>
  <sheetViews>
    <sheetView topLeftCell="C4" workbookViewId="0">
      <selection activeCell="E9" sqref="E9:E12"/>
    </sheetView>
  </sheetViews>
  <sheetFormatPr defaultColWidth="8.7265625" defaultRowHeight="14" x14ac:dyDescent="0.3"/>
  <cols>
    <col min="1" max="1" width="8.7265625" style="1"/>
    <col min="2" max="2" width="4.7265625" style="1" customWidth="1"/>
    <col min="3" max="3" width="33.1796875" style="1" customWidth="1"/>
    <col min="4" max="4" width="3.54296875" style="1" customWidth="1"/>
    <col min="5" max="5" width="25.54296875" style="1" customWidth="1"/>
    <col min="6" max="6" width="3.54296875" style="1" customWidth="1"/>
    <col min="7" max="7" width="8.54296875" style="1" customWidth="1"/>
    <col min="8" max="8" width="3.54296875" style="1" customWidth="1"/>
    <col min="9" max="10" width="25.54296875" style="1" customWidth="1"/>
    <col min="11" max="11" width="3.54296875" style="1" customWidth="1"/>
    <col min="12" max="12" width="34.1796875" style="1" customWidth="1"/>
    <col min="13" max="13" width="9.453125" style="1" bestFit="1" customWidth="1"/>
    <col min="14" max="16384" width="8.7265625" style="1"/>
  </cols>
  <sheetData>
    <row r="4" spans="2:13" x14ac:dyDescent="0.3">
      <c r="B4" s="3" t="s">
        <v>47</v>
      </c>
    </row>
    <row r="6" spans="2:13" x14ac:dyDescent="0.3">
      <c r="C6" s="11" t="s">
        <v>48</v>
      </c>
      <c r="E6" s="16">
        <f>(('Development Proposal'!T22-'Development Proposal'!W39)*M6*M7)</f>
        <v>130065.60000000001</v>
      </c>
      <c r="G6" s="17" t="str">
        <f>IF('Development Proposal'!F28&gt;199,"Or", " ")</f>
        <v xml:space="preserve"> </v>
      </c>
      <c r="I6" s="24" t="str">
        <f>IF('Development Proposal'!F28&gt;199, ('Development Proposal'!V22-'Development Proposal'!W39)*'Open Space'!M6, " ")</f>
        <v xml:space="preserve"> </v>
      </c>
      <c r="L6" s="1" t="s">
        <v>49</v>
      </c>
      <c r="M6" s="1">
        <v>16</v>
      </c>
    </row>
    <row r="7" spans="2:13" x14ac:dyDescent="0.3">
      <c r="C7" s="11"/>
      <c r="I7" s="19" t="str">
        <f>IF('Development Proposal'!F28&gt;199, 'Open Space'!I6*0.0001, " ")</f>
        <v xml:space="preserve"> </v>
      </c>
      <c r="L7" s="1" t="s">
        <v>50</v>
      </c>
      <c r="M7" s="15">
        <f>42</f>
        <v>42</v>
      </c>
    </row>
    <row r="8" spans="2:13" x14ac:dyDescent="0.3">
      <c r="C8" s="11"/>
      <c r="I8" s="19"/>
      <c r="M8" s="15"/>
    </row>
    <row r="9" spans="2:13" x14ac:dyDescent="0.3">
      <c r="C9" s="11" t="s">
        <v>51</v>
      </c>
      <c r="E9" s="21">
        <f>IF('Development Proposal'!F28&gt;199, " ", ('Development Proposal'!T23-'Development Proposal'!T39)*M9*M10)</f>
        <v>182420.875</v>
      </c>
      <c r="G9" s="17" t="str">
        <f>IF('Development Proposal'!F28&gt;49, IF('Development Proposal'!F28&gt;199, " ", "Or"), " ")</f>
        <v>Or</v>
      </c>
      <c r="I9" s="24">
        <f>IF('Development Proposal'!F28&gt;49, ('Development Proposal'!V23-'Development Proposal'!T39)*'Open Space'!M9, " ")</f>
        <v>537.5</v>
      </c>
      <c r="L9" s="1" t="s">
        <v>52</v>
      </c>
      <c r="M9" s="1">
        <v>2.5</v>
      </c>
    </row>
    <row r="10" spans="2:13" x14ac:dyDescent="0.3">
      <c r="C10" s="11"/>
      <c r="I10" s="19">
        <f>IF('Development Proposal'!F28&gt;49, 'Open Space'!I9*0.0001, " ")</f>
        <v>5.3749999999999999E-2</v>
      </c>
      <c r="L10" s="1" t="s">
        <v>53</v>
      </c>
      <c r="M10" s="30">
        <f>377</f>
        <v>377</v>
      </c>
    </row>
    <row r="11" spans="2:13" x14ac:dyDescent="0.3">
      <c r="C11" s="11"/>
      <c r="I11" s="19"/>
      <c r="M11" s="15"/>
    </row>
    <row r="12" spans="2:13" x14ac:dyDescent="0.3">
      <c r="C12" s="11" t="s">
        <v>54</v>
      </c>
      <c r="E12" s="16">
        <f>('Development Proposal'!T22-'Development Proposal'!T39)*M12*M13</f>
        <v>145162.50000000003</v>
      </c>
      <c r="G12" s="17" t="str">
        <f>IF('Development Proposal'!F28&gt;199, "Or", " ")</f>
        <v xml:space="preserve"> </v>
      </c>
      <c r="I12" s="24" t="str">
        <f>IF('Development Proposal'!F28&gt;199, ('Development Proposal'!V22-'Development Proposal'!T39)*'Open Space'!M12, " ")</f>
        <v xml:space="preserve"> </v>
      </c>
      <c r="L12" s="1" t="s">
        <v>55</v>
      </c>
      <c r="M12" s="1">
        <v>3</v>
      </c>
    </row>
    <row r="13" spans="2:13" x14ac:dyDescent="0.3">
      <c r="I13" s="19" t="str">
        <f>IF('Development Proposal'!F28&gt;199, 'Open Space'!I12*0.0001, " ")</f>
        <v xml:space="preserve"> </v>
      </c>
      <c r="L13" s="1" t="s">
        <v>56</v>
      </c>
      <c r="M13" s="15">
        <f>250</f>
        <v>250</v>
      </c>
    </row>
    <row r="15" spans="2:13" x14ac:dyDescent="0.3">
      <c r="B15" s="3" t="s">
        <v>57</v>
      </c>
    </row>
    <row r="17" spans="3:13" x14ac:dyDescent="0.3">
      <c r="C17" s="11" t="s">
        <v>58</v>
      </c>
      <c r="E17" s="14">
        <f>'Development Proposal'!T22*M17*M18</f>
        <v>184786.05600000001</v>
      </c>
      <c r="G17" s="17" t="str">
        <f>IF('Development Proposal'!F28&gt;199, "Or", " ")</f>
        <v xml:space="preserve"> </v>
      </c>
      <c r="I17" s="18" t="str">
        <f>IF('Development Proposal'!F28&gt;199, 'Development Proposal'!V22*'Open Space'!M17, " ")</f>
        <v xml:space="preserve"> </v>
      </c>
      <c r="L17" s="1" t="s">
        <v>59</v>
      </c>
      <c r="M17" s="1">
        <v>8</v>
      </c>
    </row>
    <row r="18" spans="3:13" x14ac:dyDescent="0.3">
      <c r="C18" s="11"/>
      <c r="I18" s="19" t="str">
        <f>IF('Development Proposal'!F28&gt;199, I17*0.0001," ")</f>
        <v xml:space="preserve"> </v>
      </c>
      <c r="L18" s="1" t="s">
        <v>60</v>
      </c>
      <c r="M18" s="15">
        <f>117*1.02</f>
        <v>119.34</v>
      </c>
    </row>
    <row r="19" spans="3:13" x14ac:dyDescent="0.3">
      <c r="C19" s="11"/>
      <c r="I19" s="23" t="str">
        <f>IF(OR('Development Proposal'!F28&gt;19, 'Development Proposal'!L40&gt;0), "Where on-site provision cannot be secured, financial contributions will be required", " ")</f>
        <v>Where on-site provision cannot be secured, financial contributions will be required</v>
      </c>
      <c r="M19" s="15"/>
    </row>
    <row r="20" spans="3:13" x14ac:dyDescent="0.3">
      <c r="C20" s="11" t="str">
        <f>IF(OR('Development Proposal'!F28&gt;19, 'Development Proposal'!L40&gt;0), "Amenity Green Space", " ")</f>
        <v>Amenity Green Space</v>
      </c>
      <c r="E20" s="24">
        <f>IF(OR('Development Proposal'!F28&gt;19, 'Development Proposal'!L40&gt;0), ('Development Proposal'!V22+'Development Proposal'!T24)*'Open Space'!M20, " ")</f>
        <v>1720</v>
      </c>
      <c r="I20" s="20">
        <f>IF(OR('Development Proposal'!F28&gt;19, 'Development Proposal'!L40&gt;0), ('Development Proposal'!T22+'Development Proposal'!T24)*'Open Space'!M20*'Open Space'!M21, " ")</f>
        <v>41063.567999999999</v>
      </c>
      <c r="L20" s="1" t="s">
        <v>61</v>
      </c>
      <c r="M20" s="1">
        <v>8</v>
      </c>
    </row>
    <row r="21" spans="3:13" x14ac:dyDescent="0.3">
      <c r="C21" s="11"/>
      <c r="E21" s="19">
        <f>IF('Development Proposal'!F28&gt;19, E20*0.0001, " ")</f>
        <v>0.17200000000000001</v>
      </c>
      <c r="L21" s="1" t="s">
        <v>62</v>
      </c>
      <c r="M21" s="15">
        <f>26*1.02</f>
        <v>26.52</v>
      </c>
    </row>
    <row r="22" spans="3:13" x14ac:dyDescent="0.3">
      <c r="C22" s="11"/>
      <c r="E22" s="19"/>
      <c r="M22" s="15"/>
    </row>
    <row r="23" spans="3:13" x14ac:dyDescent="0.3">
      <c r="C23" s="11" t="str">
        <f>IF(OR('Development Proposal'!F28&gt;19, 'Development Proposal'!L40&gt;0), "Natural and Semi-Natural Space", " ")</f>
        <v>Natural and Semi-Natural Space</v>
      </c>
      <c r="E23" s="24">
        <f>IF(OR('Development Proposal'!F28&gt;19, 'Development Proposal'!L40&gt;0), ('Development Proposal'!V22+'Development Proposal'!T24)*'Open Space'!M23, " ")</f>
        <v>3870</v>
      </c>
      <c r="I23" s="22">
        <f>IF(OR('Development Proposal'!F28&gt;19, 'Development Proposal'!L40&gt;0), ('Development Proposal'!T22+'Development Proposal'!T24)*M23*M24, " ")</f>
        <v>92393.028000000006</v>
      </c>
      <c r="L23" s="1" t="s">
        <v>63</v>
      </c>
      <c r="M23" s="1">
        <v>18</v>
      </c>
    </row>
    <row r="24" spans="3:13" x14ac:dyDescent="0.3">
      <c r="E24" s="19">
        <f>IF('Development Proposal'!F28&gt;19, E23*0.0001, " ")</f>
        <v>0.38700000000000001</v>
      </c>
      <c r="L24" s="1" t="s">
        <v>64</v>
      </c>
      <c r="M24" s="15">
        <f>26*1.02</f>
        <v>26.52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45B4C53-54DA-4E99-841A-0D504ABBDE65}">
            <xm:f>'Development Proposal'!$F$28&lt;200</xm:f>
            <x14:dxf>
              <fill>
                <patternFill>
                  <bgColor theme="7" tint="0.7999816888943144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6" id="{23E98633-5DF3-4E56-9DA3-063A0FB6775A}">
            <xm:f>'Development Proposal'!$F$28&gt;19</xm:f>
            <x14:dxf>
              <fill>
                <patternFill>
                  <bgColor theme="7" tint="0.79998168889431442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5" id="{38EFEF3F-F4AB-4AAC-A7A2-31A8C402C58C}">
            <xm:f>'Development Proposal'!$F$28&gt;19</xm:f>
            <x14:dxf>
              <fill>
                <patternFill>
                  <bgColor theme="7" tint="0.7999816888943144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4" id="{FD7C92F9-9315-4A4F-956E-B2BAC5602E09}">
            <xm:f>'Development Proposal'!$F$28&gt;199</xm:f>
            <x14:dxf>
              <fill>
                <patternFill>
                  <bgColor theme="7" tint="0.79998168889431442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3" id="{CE1D4DF7-270C-46F3-BE36-6E588EF92B47}">
            <xm:f>'Development Proposal'!$F$28&gt;49</xm:f>
            <x14:dxf>
              <fill>
                <patternFill>
                  <bgColor theme="7" tint="0.79998168889431442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1" id="{79317F15-D927-4F5A-875C-D9A498DA60C8}">
            <xm:f>'Development Proposal'!$F$28&gt;199</xm:f>
            <x14:dxf>
              <fill>
                <patternFill>
                  <bgColor theme="7" tint="0.79998168889431442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7" id="{69B66E2F-6C93-4B44-B074-CD57114A5FDF}">
            <xm:f>'Development Proposal'!$F$28&gt;199</xm:f>
            <x14:dxf>
              <fill>
                <patternFill>
                  <bgColor theme="7" tint="0.79998168889431442"/>
                </patternFill>
              </fill>
            </x14:dxf>
          </x14:cfRule>
          <xm:sqref>I17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07ED-D0B0-41AF-9C71-459323F0509A}">
  <dimension ref="A1"/>
  <sheetViews>
    <sheetView workbookViewId="0">
      <selection activeCell="G38" sqref="G38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7642-1413-4AB2-A16B-9E9B32F9189D}">
  <dimension ref="A1"/>
  <sheetViews>
    <sheetView workbookViewId="0">
      <selection activeCell="L30" sqref="L30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0658-2048-4846-A981-37ECD1352832}">
  <dimension ref="A1"/>
  <sheetViews>
    <sheetView workbookViewId="0">
      <selection activeCell="I14" sqref="I14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853FEC4CB484C97F543E0B551F0ED" ma:contentTypeVersion="17" ma:contentTypeDescription="Create a new document." ma:contentTypeScope="" ma:versionID="a1cb27a17aff94648baf53edffac261a">
  <xsd:schema xmlns:xsd="http://www.w3.org/2001/XMLSchema" xmlns:xs="http://www.w3.org/2001/XMLSchema" xmlns:p="http://schemas.microsoft.com/office/2006/metadata/properties" xmlns:ns2="6473926d-036e-460f-9b3d-e79d39955988" xmlns:ns3="d7ce8227-dce6-4f6e-b555-46be62e90b9d" xmlns:ns4="9a7ae3bb-a637-4ba9-a16a-ccda01b4dd5f" targetNamespace="http://schemas.microsoft.com/office/2006/metadata/properties" ma:root="true" ma:fieldsID="be2b174d1d9f19cf42e3b0f8907643f5" ns2:_="" ns3:_="" ns4:_="">
    <xsd:import namespace="6473926d-036e-460f-9b3d-e79d39955988"/>
    <xsd:import namespace="d7ce8227-dce6-4f6e-b555-46be62e90b9d"/>
    <xsd:import namespace="9a7ae3bb-a637-4ba9-a16a-ccda01b4d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3926d-036e-460f-9b3d-e79d39955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e04a26-f4c6-40b5-97e9-f34f99ff67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e8227-dce6-4f6e-b555-46be62e90b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ae3bb-a637-4ba9-a16a-ccda01b4dd5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aee3da8-7404-4277-be21-1f0f7160a8af}" ma:internalName="TaxCatchAll" ma:showField="CatchAllData" ma:web="d7ce8227-dce6-4f6e-b555-46be62e90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ae3bb-a637-4ba9-a16a-ccda01b4dd5f" xsi:nil="true"/>
    <lcf76f155ced4ddcb4097134ff3c332f xmlns="6473926d-036e-460f-9b3d-e79d399559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7238EE-7D31-4808-9FBA-80FC74C8B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3926d-036e-460f-9b3d-e79d39955988"/>
    <ds:schemaRef ds:uri="d7ce8227-dce6-4f6e-b555-46be62e90b9d"/>
    <ds:schemaRef ds:uri="9a7ae3bb-a637-4ba9-a16a-ccda01b4d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F588B-5798-45B0-B95B-2F38A9B40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8BC0D-58F4-41EF-A374-162921B0712E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d7ce8227-dce6-4f6e-b555-46be62e90b9d"/>
    <ds:schemaRef ds:uri="http://schemas.microsoft.com/office/2006/documentManagement/types"/>
    <ds:schemaRef ds:uri="http://purl.org/dc/terms/"/>
    <ds:schemaRef ds:uri="6473926d-036e-460f-9b3d-e79d39955988"/>
    <ds:schemaRef ds:uri="9a7ae3bb-a637-4ba9-a16a-ccda01b4dd5f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48de4f9-d135-48cc-a4c8-babd7e9e8703}" enabled="0" method="" siteId="{248de4f9-d135-48cc-a4c8-babd7e9e87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Development Proposal</vt:lpstr>
      <vt:lpstr>Health</vt:lpstr>
      <vt:lpstr>Community Facilities</vt:lpstr>
      <vt:lpstr>Open Space</vt:lpstr>
      <vt:lpstr>Police</vt:lpstr>
      <vt:lpstr>Ashdown Forest</vt:lpstr>
      <vt:lpstr>Monitoring Fees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Estelle Maisonnial</dc:creator>
  <cp:keywords/>
  <dc:description/>
  <cp:lastModifiedBy>Mark McLaughlin</cp:lastModifiedBy>
  <cp:revision/>
  <dcterms:created xsi:type="dcterms:W3CDTF">2023-12-04T14:22:24Z</dcterms:created>
  <dcterms:modified xsi:type="dcterms:W3CDTF">2026-02-15T19:41:40Z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0x010100EB4853FEC4CB484C97F543E0B551F0ED</vt:lpwstr>
  </property>
  <property fmtid="{D5CDD505-2E9C-101B-9397-08002B2CF9AE}" pid="3" name="MediaServiceImageTags">
    <vt:lpwstr/>
  </property>
</Properties>
</file>