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_FilterDatabase" localSheetId="9" hidden="1">'10. Condition and Temporal'!$C$4:$M$85</x:definedName>
    <x:definedName name="_xlnm._FilterDatabase" localSheetId="12" hidden="1">'13. Habitats Translation'!$B$2:$F$83</x:definedName>
    <x:definedName name="_xlnm._FilterDatabase" localSheetId="8" hidden="1">'9. All Habitats + Multipliers'!$C$3:$J$91</x:definedName>
    <x:definedName name="CoastalSaltmarsh" localSheetId="5">Table15[Coastalsaltmarsh]</x:definedName>
    <x:definedName name="CoastalSaltmarsh" localSheetId="6">Table15[Coastalsaltmarsh]</x:definedName>
    <x:definedName name="CoastalSaltmarsh">Table15[Coastalsaltmarsh]</x:definedName>
    <x:definedName name="Cropland" localSheetId="5">Table2[Cropland]</x:definedName>
    <x:definedName name="Cropland" localSheetId="6">Table2[Cropland]</x:definedName>
    <x:definedName name="Cropland">Table2[Cropland]</x:definedName>
    <x:definedName name="Grassland" localSheetId="5">Table3[Grassland]</x:definedName>
    <x:definedName name="Grassland" localSheetId="6">Table3[Grassland]</x:definedName>
    <x:definedName name="Grassland">Table3[Grassland]</x:definedName>
    <x:definedName name="Heathlandandshrub" localSheetId="5">Table4[Heathlandandshrub]</x:definedName>
    <x:definedName name="Heathlandandshrub" localSheetId="6">Table4[Heathlandandshrub]</x:definedName>
    <x:definedName name="Heathlandandshrub">Table4[Heathlandandshrub]</x:definedName>
    <x:definedName name="Hedgerow">Table11[HedgerowsandLinesoftrees]</x:definedName>
    <x:definedName name="HedgerowsandLinesofTrees">Table11[HedgerowsandLinesoftrees]</x:definedName>
    <x:definedName name="Intertidalhardstructures" localSheetId="5">Table5[Intertidalhardstructures]</x:definedName>
    <x:definedName name="Intertidalhardstructures" localSheetId="6">Table5[Intertidalhardstructures]</x:definedName>
    <x:definedName name="Intertidalhardstructures">Table5[Intertidalhardstructures]</x:definedName>
    <x:definedName name="Intertidalsediment" localSheetId="5">Table6[Intertidalsediment]</x:definedName>
    <x:definedName name="Intertidalsediment" localSheetId="6">Table6[Intertidalsediment]</x:definedName>
    <x:definedName name="Intertidalsediment">Table6[Intertidalsediment]</x:definedName>
    <x:definedName name="Lakes" localSheetId="5">Table7[Lakes]</x:definedName>
    <x:definedName name="Lakes" localSheetId="6">Table7[Lakes]</x:definedName>
    <x:definedName name="Lakes">Table7[Lakes]</x:definedName>
    <x:definedName name="Lineoftrees" localSheetId="5">Table12[Lineoftrees]</x:definedName>
    <x:definedName name="Lineoftrees" localSheetId="6">Table12[Lineoftrees]</x:definedName>
    <x:definedName name="Lineoftrees">Table12[Lineoftrees]</x:definedName>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_xlnm.Print_Area" localSheetId="6">'7. Watercourses'!$A$1:$Q$100</x:definedName>
    <x:definedName name="_xlnm.Print_Area" localSheetId="7">'8. Headline Results'!$B$2:$D$49</x:definedName>
    <x:definedName name="Rivers" localSheetId="5">Table13[Watercourses]</x:definedName>
    <x:definedName name="Rivers" localSheetId="6">Table13[Watercourses]</x:definedName>
    <x:definedName name="Rivers">Table13[Watercourses]</x:definedName>
    <x:definedName name="Sparselyvegetatedland" localSheetId="5">Table8[Sparselyvegetatedland]</x:definedName>
    <x:definedName name="Sparselyvegetatedland" localSheetId="6">Table8[Sparselyvegetatedland]</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 localSheetId="5">Table9[Urban]</x:definedName>
    <x:definedName name="Urban" localSheetId="6">Table9[Urban]</x:definedName>
    <x:definedName name="Urban">Table9[Urban]</x:definedName>
    <x:definedName name="Watercourses">'11. Lists'!$Y$2:$Y$4</x:definedName>
    <x:definedName name="Woodlandandforest" localSheetId="5">Table10[Woodlandandforest]</x:definedName>
    <x:definedName name="Woodlandandforest" localSheetId="6">Table10[Woodlandandforest]</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 r="AZ85" i="22"/>
  <c r="AY85" i="22"/>
  <c r="AZ84" i="22"/>
  <c r="AY84" i="22"/>
  <c r="AZ83" i="22"/>
  <c r="AY83" i="22"/>
  <c r="AZ82" i="22"/>
  <c r="AY82" i="22"/>
  <c r="AZ81" i="22"/>
  <c r="AY81" i="22"/>
  <c r="AZ80" i="22"/>
  <c r="AY80" i="22"/>
  <c r="AZ79" i="22"/>
  <c r="AY79" i="22"/>
  <c r="AZ78" i="22"/>
  <c r="AY78" i="22"/>
  <c r="AZ77" i="22"/>
  <c r="AY77" i="22"/>
  <c r="AZ76" i="22"/>
  <c r="AY76" i="22"/>
  <c r="AZ75" i="22"/>
  <c r="AY75" i="22"/>
  <c r="AZ74" i="22"/>
  <c r="AY74" i="22"/>
  <c r="AZ73" i="22"/>
  <c r="AY73" i="22"/>
  <c r="AZ72" i="22"/>
  <c r="AY72" i="22"/>
  <c r="AZ71" i="22"/>
  <c r="AY71" i="22"/>
  <c r="AZ70" i="22"/>
  <c r="AY70" i="22"/>
  <c r="AZ69" i="22"/>
  <c r="AY69" i="22"/>
  <c r="AZ68" i="22"/>
  <c r="AY68" i="22"/>
  <c r="AZ67" i="22"/>
  <c r="AY67" i="22"/>
  <c r="AZ66" i="22"/>
  <c r="AI58" i="22"/>
  <c r="AI57" i="22"/>
  <c r="AI56" i="22"/>
  <c r="AI55" i="22"/>
  <c r="AI54" i="22"/>
  <c r="AI53" i="22"/>
  <c r="AI52" i="22"/>
  <c r="AI51" i="22"/>
  <c r="AI50" i="22"/>
  <c r="AI49" i="22"/>
  <c r="AI48" i="22"/>
  <c r="AI47" i="22"/>
  <c r="AI46" i="22"/>
  <c r="AI45" i="22"/>
  <c r="AI44" i="22"/>
  <c r="AI43" i="22"/>
  <c r="AI42" i="22"/>
  <c r="AI41" i="22"/>
  <c r="AI40" i="22"/>
  <c r="AK30" i="22"/>
  <c r="AJ30" i="22"/>
  <c r="AK29" i="22"/>
  <c r="AJ29" i="22"/>
  <c r="AK28" i="22"/>
  <c r="AJ28" i="22"/>
  <c r="AK27" i="22"/>
  <c r="AJ27" i="22"/>
  <c r="AK26" i="22"/>
  <c r="AJ26" i="22"/>
  <c r="AK25" i="22"/>
  <c r="AJ25" i="22"/>
  <c r="AK24" i="22"/>
  <c r="AJ24" i="22"/>
  <c r="AK23" i="22"/>
  <c r="AJ23" i="22"/>
  <c r="AK22" i="22"/>
  <c r="AJ22" i="22"/>
  <c r="AK21" i="22"/>
  <c r="AJ21" i="22"/>
  <c r="AK20" i="22"/>
  <c r="AJ20" i="22"/>
  <c r="AK19" i="22"/>
  <c r="AJ19" i="22"/>
  <c r="AK18" i="22"/>
  <c r="AJ18" i="22"/>
  <c r="AK17" i="22"/>
  <c r="AJ17" i="22"/>
  <c r="AK16" i="22"/>
  <c r="AJ16" i="22"/>
  <c r="AK15" i="22"/>
  <c r="AJ15" i="22"/>
  <c r="AK14" i="22"/>
  <c r="AJ14" i="22"/>
  <c r="AK13" i="22"/>
  <c r="AJ13" i="22"/>
  <c r="AK12" i="22"/>
  <c r="AJ12" i="22"/>
  <c r="AK11" i="22"/>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<sst xmlns="http://schemas.openxmlformats.org/spreadsheetml/2006/main" count="3136" uniqueCount="1048">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</sst>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29" fillId="15"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6" fontId="25" fillId="7" borderId="18" xfId="0" applyNumberFormat="1" applyFont="1" applyFill="1" applyBorder="1" applyAlignment="1">
      <alignment horizontal="center" vertical="center" wrapText="1"/>
    </xf>
    <xf numFmtId="166"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6"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5" fontId="25" fillId="7" borderId="18" xfId="0" applyNumberFormat="1" applyFont="1" applyFill="1" applyBorder="1" applyAlignment="1">
      <alignment horizontal="center" vertical="center" wrapText="1"/>
    </xf>
    <xf numFmtId="0" fontId="41" fillId="12" borderId="0" xfId="0" applyFont="1" applyFill="1"/>
    <xf numFmtId="167"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6"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6" fontId="11" fillId="25" borderId="29" xfId="0" applyNumberFormat="1" applyFont="1" applyFill="1" applyBorder="1" applyAlignment="1">
      <alignment horizontal="center" vertical="center" wrapText="1"/>
    </xf>
    <xf numFmtId="166" fontId="11" fillId="25" borderId="14" xfId="0" applyNumberFormat="1" applyFont="1" applyFill="1" applyBorder="1" applyAlignment="1">
      <alignment horizontal="center" vertical="center" wrapText="1"/>
    </xf>
    <xf numFmtId="166" fontId="0" fillId="25" borderId="72" xfId="0" applyNumberFormat="1" applyFill="1" applyBorder="1" applyAlignment="1">
      <alignment horizontal="center" vertical="center" wrapText="1"/>
    </xf>
    <xf numFmtId="166"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6" fontId="0" fillId="25" borderId="20"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6" fontId="0" fillId="25" borderId="29"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66" fontId="0" fillId="25" borderId="11"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25"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6" fontId="25" fillId="7" borderId="54" xfId="0" applyNumberFormat="1" applyFont="1" applyFill="1" applyBorder="1" applyAlignment="1">
      <alignment horizontal="center" vertical="center" wrapText="1"/>
    </xf>
    <xf numFmtId="166" fontId="25"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6"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5"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5"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6"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6"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6"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6" fontId="11" fillId="32" borderId="26" xfId="0" applyNumberFormat="1" applyFont="1" applyFill="1" applyBorder="1" applyAlignment="1">
      <alignment horizontal="center" vertical="center"/>
    </xf>
    <xf numFmtId="166" fontId="36" fillId="32" borderId="14" xfId="0" applyNumberFormat="1" applyFont="1" applyFill="1" applyBorder="1" applyAlignment="1">
      <alignment horizontal="center" vertical="center"/>
    </xf>
    <xf numFmtId="166"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6"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6"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6"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6"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6"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6"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6"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6" fontId="5" fillId="3" borderId="5" xfId="0" applyNumberFormat="1" applyFont="1" applyFill="1" applyBorder="1" applyAlignment="1">
      <alignment horizontal="center" vertical="center"/>
    </xf>
    <xf numFmtId="166" fontId="5" fillId="3" borderId="6" xfId="0" applyNumberFormat="1" applyFont="1" applyFill="1" applyBorder="1" applyAlignment="1">
      <alignment vertical="center"/>
    </xf>
    <xf numFmtId="166" fontId="5" fillId="3" borderId="45" xfId="0" applyNumberFormat="1" applyFont="1" applyFill="1" applyBorder="1" applyAlignment="1">
      <alignment horizontal="center" vertical="center"/>
    </xf>
    <xf numFmtId="166" fontId="5" fillId="3" borderId="56" xfId="0" applyNumberFormat="1" applyFont="1" applyFill="1" applyBorder="1" applyAlignment="1">
      <alignment vertical="center"/>
    </xf>
    <xf numFmtId="166" fontId="5" fillId="3" borderId="34" xfId="0" applyNumberFormat="1" applyFont="1" applyFill="1" applyBorder="1" applyAlignment="1">
      <alignment horizontal="center" vertical="center"/>
    </xf>
    <xf numFmtId="166"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6"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6"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7" xfId="0" applyNumberFormat="1" applyFill="1" applyBorder="1" applyAlignment="1">
      <alignment horizontal="center" vertical="center" wrapText="1"/>
    </xf>
    <xf numFmtId="165" fontId="0" fillId="2" borderId="35"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6" fontId="5" fillId="0" borderId="34" xfId="0" applyNumberFormat="1" applyFont="1" applyBorder="1" applyAlignment="1">
      <alignment horizontal="center" vertical="center" wrapText="1"/>
    </xf>
    <xf numFmtId="166" fontId="52" fillId="34" borderId="36" xfId="0" applyNumberFormat="1" applyFont="1" applyFill="1" applyBorder="1" applyAlignment="1">
      <alignment horizontal="center" vertical="center" wrapText="1"/>
    </xf>
    <xf numFmtId="166" fontId="5" fillId="25" borderId="5" xfId="0" applyNumberFormat="1" applyFont="1" applyFill="1" applyBorder="1" applyAlignment="1">
      <alignment horizontal="center" vertical="center" wrapText="1"/>
    </xf>
    <xf numFmtId="166" fontId="52" fillId="34" borderId="6" xfId="0" applyNumberFormat="1" applyFont="1" applyFill="1" applyBorder="1" applyAlignment="1">
      <alignment horizontal="center" vertical="center" wrapText="1"/>
    </xf>
    <xf numFmtId="166" fontId="5" fillId="0" borderId="45" xfId="0" applyNumberFormat="1" applyFont="1" applyBorder="1" applyAlignment="1">
      <alignment horizontal="center" vertical="center" wrapText="1"/>
    </xf>
    <xf numFmtId="166"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6"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6"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6"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6" fontId="0" fillId="25" borderId="44" xfId="0" applyNumberFormat="1" applyFill="1" applyBorder="1" applyAlignment="1">
      <alignment horizontal="center" vertical="center" wrapText="1"/>
    </xf>
    <xf numFmtId="166" fontId="0" fillId="25" borderId="3" xfId="0" applyNumberFormat="1" applyFill="1" applyBorder="1" applyAlignment="1">
      <alignment horizontal="center" vertical="center" wrapText="1"/>
    </xf>
    <xf numFmtId="166" fontId="0" fillId="25" borderId="69" xfId="0" applyNumberFormat="1" applyFill="1" applyBorder="1" applyAlignment="1">
      <alignment horizontal="center" vertical="center" wrapText="1"/>
    </xf>
    <xf numFmtId="166" fontId="0" fillId="25" borderId="77"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6" fontId="0" fillId="25" borderId="23" xfId="0" applyNumberFormat="1" applyFill="1" applyBorder="1" applyAlignment="1">
      <alignment horizontal="center" vertical="center" wrapText="1"/>
    </xf>
    <xf numFmtId="166" fontId="0" fillId="25" borderId="68" xfId="0" applyNumberFormat="1" applyFill="1" applyBorder="1" applyAlignment="1">
      <alignment horizontal="center" vertical="center" wrapText="1"/>
    </xf>
    <xf numFmtId="166" fontId="0" fillId="25" borderId="40" xfId="0" applyNumberFormat="1" applyFill="1" applyBorder="1" applyAlignment="1">
      <alignment horizontal="center" vertical="center" wrapText="1"/>
    </xf>
    <xf numFmtId="166"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6" fontId="25" fillId="7" borderId="61" xfId="0" applyNumberFormat="1" applyFont="1" applyFill="1" applyBorder="1" applyAlignment="1">
      <alignment horizontal="center" vertical="center" wrapText="1"/>
    </xf>
    <xf numFmtId="166" fontId="25" fillId="7" borderId="42" xfId="0" applyNumberFormat="1" applyFont="1" applyFill="1" applyBorder="1" applyAlignment="1">
      <alignment horizontal="center" vertical="center" wrapText="1"/>
    </xf>
    <xf numFmtId="166"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6"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6" fontId="0" fillId="25" borderId="45" xfId="0" applyNumberFormat="1" applyFill="1" applyBorder="1" applyAlignment="1">
      <alignment horizontal="center" vertical="center" wrapText="1"/>
    </xf>
    <xf numFmtId="166" fontId="0" fillId="25" borderId="41" xfId="0" applyNumberFormat="1" applyFill="1" applyBorder="1" applyAlignment="1">
      <alignment horizontal="center" vertical="center" wrapText="1"/>
    </xf>
    <xf numFmtId="166" fontId="0" fillId="25" borderId="56" xfId="0" applyNumberFormat="1" applyFill="1" applyBorder="1" applyAlignment="1">
      <alignment horizontal="center" vertical="center" wrapText="1"/>
    </xf>
    <xf numFmtId="166" fontId="0" fillId="25" borderId="34" xfId="0" applyNumberFormat="1" applyFill="1" applyBorder="1" applyAlignment="1">
      <alignment horizontal="center" vertical="center" wrapText="1"/>
    </xf>
    <xf numFmtId="166" fontId="0" fillId="25" borderId="36" xfId="0" applyNumberFormat="1" applyFill="1" applyBorder="1" applyAlignment="1">
      <alignment horizontal="center" vertical="center" wrapText="1"/>
    </xf>
    <xf numFmtId="166"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6" fontId="0" fillId="25" borderId="62" xfId="0" applyNumberFormat="1" applyFill="1" applyBorder="1" applyAlignment="1">
      <alignment horizontal="center" vertical="center" wrapText="1"/>
    </xf>
    <xf numFmtId="166"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6"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6" fontId="0" fillId="25" borderId="47" xfId="0" applyNumberFormat="1" applyFill="1" applyBorder="1" applyAlignment="1">
      <alignment horizontal="center" vertical="center" wrapText="1"/>
    </xf>
    <xf numFmtId="166" fontId="0" fillId="25" borderId="42" xfId="0" applyNumberFormat="1" applyFill="1" applyBorder="1" applyAlignment="1">
      <alignment horizontal="center" vertical="center" wrapText="1"/>
    </xf>
    <xf numFmtId="166"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6" fontId="0" fillId="25" borderId="25" xfId="0" applyNumberFormat="1" applyFill="1" applyBorder="1" applyAlignment="1">
      <alignment horizontal="center" vertical="center" wrapText="1"/>
    </xf>
    <xf numFmtId="166" fontId="0" fillId="25" borderId="39"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6"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6" fontId="0" fillId="25" borderId="11" xfId="0" applyNumberFormat="1" applyFill="1" applyBorder="1" applyAlignment="1">
      <alignment horizontal="center" vertical="center" wrapText="1"/>
    </xf>
    <xf numFmtId="166" fontId="0" fillId="25" borderId="13"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166"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6" fontId="5" fillId="3" borderId="39" xfId="0" applyNumberFormat="1" applyFont="1" applyFill="1" applyBorder="1" applyAlignment="1">
      <alignment horizontal="center" vertical="center"/>
    </xf>
    <xf numFmtId="166" fontId="5" fillId="3" borderId="26" xfId="0" applyNumberFormat="1" applyFont="1" applyFill="1" applyBorder="1" applyAlignment="1">
      <alignment horizontal="center" vertical="center"/>
    </xf>
    <xf numFmtId="166" fontId="5" fillId="3" borderId="18" xfId="0" applyNumberFormat="1" applyFont="1" applyFill="1" applyBorder="1" applyAlignment="1">
      <alignment horizontal="center" vertical="center"/>
    </xf>
    <xf numFmtId="166" fontId="5" fillId="3" borderId="29" xfId="0" applyNumberFormat="1" applyFont="1" applyFill="1" applyBorder="1" applyAlignment="1">
      <alignment horizontal="center" vertical="center"/>
    </xf>
    <xf numFmtId="166" fontId="5" fillId="3" borderId="13" xfId="0" applyNumberFormat="1" applyFont="1" applyFill="1" applyBorder="1" applyAlignment="1">
      <alignment horizontal="center" vertical="center"/>
    </xf>
    <xf numFmtId="166"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zoomScale="80" zoomScaleNormal="80" workbookViewId="0">
      <selection activeCell="C14" sqref="C14:J15"/>
    </sheetView>
  </sheetViews>
  <sheetFormatPr defaultColWidth="0" defaultRowHeight="14.4" zeroHeight="1" x14ac:dyDescent="0.3"/>
  <cols>
    <col min="1" max="1" width="3.5546875" customWidth="1"/>
    <col min="2" max="6" width="8.77734375" customWidth="1"/>
    <col min="7" max="7" width="11.77734375" customWidth="1"/>
    <col min="8" max="8" width="8.77734375" customWidth="1"/>
    <col min="9" max="9" width="12.77734375" customWidth="1"/>
    <col min="10" max="10" width="14.77734375" customWidth="1"/>
    <col min="11" max="18" width="8.77734375" customWidth="1"/>
    <col min="19" max="19" width="3.77734375" customWidth="1"/>
    <col min="20" max="30" width="8.77734375" hidden="1" customWidth="1"/>
    <col min="31" max="16384" width="8.77734375" hidden="1"/>
  </cols>
  <sheetData>
    <row r="1" spans="1:30" x14ac:dyDescent="0.3">
      <c r="A1" s="25"/>
      <c r="B1" s="25"/>
      <c r="C1" s="25"/>
      <c r="D1" s="589"/>
      <c r="E1" s="589"/>
      <c r="F1" s="589"/>
      <c r="G1" s="589"/>
      <c r="H1" s="589"/>
      <c r="I1" s="589"/>
      <c r="J1" s="589"/>
      <c r="K1" s="25"/>
      <c r="L1" s="25"/>
      <c r="M1" s="25"/>
      <c r="N1" s="25"/>
      <c r="O1" s="25"/>
      <c r="P1" s="25"/>
      <c r="Q1" s="25"/>
      <c r="R1" s="25"/>
      <c r="S1" s="25"/>
      <c r="T1" s="25"/>
      <c r="U1" s="25"/>
      <c r="V1" s="25"/>
      <c r="W1" s="25"/>
      <c r="X1" s="25"/>
      <c r="Y1" s="25"/>
      <c r="Z1" s="25"/>
      <c r="AA1" s="25"/>
      <c r="AB1" s="25"/>
      <c r="AC1" s="25"/>
      <c r="AD1" s="25"/>
    </row>
    <row r="2" spans="1:30" x14ac:dyDescent="0.3">
      <c r="A2" s="25"/>
      <c r="B2" s="25"/>
      <c r="C2" s="25"/>
      <c r="D2" s="589"/>
      <c r="E2" s="589"/>
      <c r="F2" s="589"/>
      <c r="G2" s="589"/>
      <c r="H2" s="589"/>
      <c r="I2" s="589"/>
      <c r="J2" s="589"/>
      <c r="K2" s="25"/>
      <c r="L2" s="25"/>
      <c r="M2" s="25"/>
      <c r="N2" s="25"/>
      <c r="O2" s="25"/>
      <c r="P2" s="25"/>
      <c r="Q2" s="25"/>
      <c r="R2" s="25"/>
      <c r="S2" s="25"/>
      <c r="T2" s="25"/>
      <c r="U2" s="25"/>
      <c r="V2" s="25"/>
      <c r="W2" s="25"/>
      <c r="X2" s="25"/>
      <c r="Y2" s="25"/>
      <c r="Z2" s="25"/>
      <c r="AA2" s="25"/>
      <c r="AB2" s="25"/>
      <c r="AC2" s="25"/>
      <c r="AD2" s="25"/>
    </row>
    <row r="3" spans="1:30" x14ac:dyDescent="0.3">
      <c r="A3" s="25"/>
      <c r="B3" s="25"/>
      <c r="C3" s="25"/>
      <c r="D3" s="589"/>
      <c r="E3" s="589"/>
      <c r="F3" s="589"/>
      <c r="G3" s="589"/>
      <c r="H3" s="589"/>
      <c r="I3" s="589"/>
      <c r="J3" s="589"/>
      <c r="K3" s="25"/>
      <c r="L3" s="25"/>
      <c r="M3" s="25"/>
      <c r="N3" s="25"/>
      <c r="O3" s="25"/>
      <c r="P3" s="25"/>
      <c r="Q3" s="25"/>
      <c r="R3" s="25"/>
      <c r="S3" s="25"/>
      <c r="T3" s="25"/>
      <c r="U3" s="25"/>
      <c r="V3" s="25"/>
      <c r="W3" s="25"/>
      <c r="X3" s="25"/>
      <c r="Y3" s="25"/>
      <c r="Z3" s="25"/>
      <c r="AA3" s="25"/>
      <c r="AB3" s="25"/>
      <c r="AC3" s="25"/>
      <c r="AD3" s="25"/>
    </row>
    <row r="4" spans="1:30" x14ac:dyDescent="0.3">
      <c r="A4" s="25"/>
      <c r="B4" s="25"/>
      <c r="C4" s="25"/>
      <c r="D4" s="589"/>
      <c r="E4" s="589"/>
      <c r="F4" s="589"/>
      <c r="G4" s="589"/>
      <c r="H4" s="589"/>
      <c r="I4" s="589"/>
      <c r="J4" s="589"/>
      <c r="K4" s="25"/>
      <c r="L4" s="25"/>
      <c r="M4" s="25"/>
      <c r="N4" s="25"/>
      <c r="O4" s="25"/>
      <c r="P4" s="25"/>
      <c r="Q4" s="25"/>
      <c r="R4" s="25"/>
      <c r="S4" s="25"/>
      <c r="T4" s="25"/>
      <c r="U4" s="25"/>
      <c r="V4" s="25"/>
      <c r="W4" s="25"/>
      <c r="X4" s="25"/>
      <c r="Y4" s="25"/>
      <c r="Z4" s="25"/>
      <c r="AA4" s="25"/>
      <c r="AB4" s="25"/>
      <c r="AC4" s="25"/>
      <c r="AD4" s="25"/>
    </row>
    <row r="5" spans="1:30" x14ac:dyDescent="0.3">
      <c r="A5" s="25"/>
      <c r="B5" s="25"/>
      <c r="C5" s="25"/>
      <c r="D5" s="589"/>
      <c r="E5" s="589"/>
      <c r="F5" s="589"/>
      <c r="G5" s="589"/>
      <c r="H5" s="589"/>
      <c r="I5" s="589"/>
      <c r="J5" s="589"/>
      <c r="K5" s="25"/>
      <c r="L5" s="25"/>
      <c r="M5" s="25"/>
      <c r="N5" s="25"/>
      <c r="O5" s="25"/>
      <c r="P5" s="25"/>
      <c r="Q5" s="25"/>
      <c r="R5" s="25"/>
      <c r="S5" s="25"/>
      <c r="T5" s="25"/>
      <c r="U5" s="25"/>
      <c r="V5" s="25"/>
      <c r="W5" s="25"/>
      <c r="X5" s="25"/>
      <c r="Y5" s="25"/>
      <c r="Z5" s="25"/>
      <c r="AA5" s="25"/>
      <c r="AB5" s="25"/>
      <c r="AC5" s="25"/>
      <c r="AD5" s="25"/>
    </row>
    <row r="6" spans="1:30" x14ac:dyDescent="0.3">
      <c r="A6" s="157" t="s">
        <v>0</v>
      </c>
      <c r="B6" s="591" t="s">
        <v>1031</v>
      </c>
      <c r="C6" s="592"/>
      <c r="D6" s="592"/>
      <c r="E6" s="592"/>
      <c r="F6" s="592"/>
      <c r="G6" s="592"/>
      <c r="H6" s="592"/>
      <c r="I6" s="592"/>
      <c r="J6" s="592"/>
      <c r="K6" s="25"/>
      <c r="L6" s="25"/>
      <c r="M6" s="25"/>
      <c r="N6" s="25"/>
      <c r="O6" s="25"/>
      <c r="P6" s="25"/>
      <c r="Q6" s="25"/>
      <c r="R6" s="25"/>
      <c r="S6" s="25"/>
      <c r="T6" s="25"/>
      <c r="U6" s="25"/>
      <c r="V6" s="25"/>
      <c r="W6" s="25"/>
      <c r="X6" s="25"/>
      <c r="Y6" s="25"/>
      <c r="Z6" s="25"/>
      <c r="AA6" s="25"/>
      <c r="AB6" s="25"/>
      <c r="AC6" s="25"/>
      <c r="AD6" s="25"/>
    </row>
    <row r="7" spans="1:30" x14ac:dyDescent="0.3">
      <c r="A7" s="25"/>
      <c r="B7" s="592"/>
      <c r="C7" s="592"/>
      <c r="D7" s="592"/>
      <c r="E7" s="592"/>
      <c r="F7" s="592"/>
      <c r="G7" s="592"/>
      <c r="H7" s="592"/>
      <c r="I7" s="592"/>
      <c r="J7" s="592"/>
      <c r="K7" s="25"/>
      <c r="L7" s="25"/>
      <c r="M7" s="25"/>
      <c r="N7" s="25"/>
      <c r="O7" s="25"/>
      <c r="P7" s="25"/>
      <c r="Q7" s="25"/>
      <c r="R7" s="25"/>
      <c r="S7" s="25"/>
      <c r="T7" s="25"/>
      <c r="U7" s="25"/>
      <c r="V7" s="25"/>
      <c r="W7" s="25"/>
      <c r="X7" s="25"/>
      <c r="Y7" s="25"/>
      <c r="Z7" s="25"/>
      <c r="AA7" s="25"/>
      <c r="AB7" s="25"/>
      <c r="AC7" s="25"/>
      <c r="AD7" s="25"/>
    </row>
    <row r="8" spans="1:30" ht="28.5" customHeight="1" x14ac:dyDescent="0.3">
      <c r="A8" s="25"/>
      <c r="B8" s="592"/>
      <c r="C8" s="592"/>
      <c r="D8" s="592"/>
      <c r="E8" s="592"/>
      <c r="F8" s="592"/>
      <c r="G8" s="592"/>
      <c r="H8" s="592"/>
      <c r="I8" s="592"/>
      <c r="J8" s="592"/>
      <c r="K8" s="25"/>
      <c r="L8" s="25"/>
      <c r="M8" s="25"/>
      <c r="N8" s="25"/>
      <c r="O8" s="25"/>
      <c r="P8" s="25"/>
      <c r="Q8" s="25"/>
      <c r="R8" s="25"/>
      <c r="S8" s="25"/>
      <c r="T8" s="25"/>
      <c r="U8" s="25"/>
      <c r="V8" s="25"/>
      <c r="W8" s="25"/>
      <c r="X8" s="25"/>
      <c r="Y8" s="25"/>
      <c r="Z8" s="25"/>
      <c r="AA8" s="25"/>
      <c r="AB8" s="25"/>
      <c r="AC8" s="25"/>
      <c r="AD8" s="25"/>
    </row>
    <row r="9" spans="1:30" ht="14.55" customHeight="1" x14ac:dyDescent="0.3">
      <c r="A9" s="25"/>
      <c r="B9" s="593"/>
      <c r="C9" s="593"/>
      <c r="D9" s="593"/>
      <c r="E9" s="593"/>
      <c r="F9" s="593"/>
      <c r="G9" s="593"/>
      <c r="H9" s="593"/>
      <c r="I9" s="593"/>
      <c r="J9" s="593"/>
      <c r="K9" s="25"/>
      <c r="L9" s="25"/>
      <c r="M9" s="25"/>
      <c r="N9" s="25"/>
      <c r="O9" s="25"/>
      <c r="P9" s="25"/>
      <c r="Q9" s="25"/>
      <c r="R9" s="25"/>
      <c r="S9" s="25"/>
      <c r="T9" s="25"/>
      <c r="U9" s="25"/>
      <c r="V9" s="25"/>
      <c r="W9" s="25"/>
      <c r="X9" s="25"/>
      <c r="Y9" s="25"/>
      <c r="Z9" s="25"/>
      <c r="AA9" s="25"/>
      <c r="AB9" s="25"/>
      <c r="AC9" s="25"/>
      <c r="AD9" s="25"/>
    </row>
    <row r="10" spans="1:30" ht="20.55" customHeight="1" x14ac:dyDescent="0.3">
      <c r="A10" s="25"/>
      <c r="B10" s="593"/>
      <c r="C10" s="593"/>
      <c r="D10" s="593"/>
      <c r="E10" s="593"/>
      <c r="F10" s="593"/>
      <c r="G10" s="593"/>
      <c r="H10" s="593"/>
      <c r="I10" s="593"/>
      <c r="J10" s="593"/>
      <c r="K10" s="25"/>
      <c r="L10" s="25"/>
      <c r="M10" s="25"/>
      <c r="N10" s="25"/>
      <c r="O10" s="25"/>
      <c r="P10" s="25"/>
      <c r="Q10" s="25"/>
      <c r="R10" s="25"/>
      <c r="S10" s="25"/>
      <c r="T10" s="25"/>
      <c r="U10" s="25"/>
      <c r="V10" s="25"/>
      <c r="W10" s="25"/>
      <c r="X10" s="25"/>
      <c r="Y10" s="25"/>
      <c r="Z10" s="25"/>
      <c r="AA10" s="25"/>
      <c r="AB10" s="25"/>
      <c r="AC10" s="25"/>
      <c r="AD10" s="25"/>
    </row>
    <row r="11" spans="1:30" x14ac:dyDescent="0.3">
      <c r="A11" s="25"/>
      <c r="B11" s="594" t="s">
        <v>1046</v>
      </c>
      <c r="C11" s="594"/>
      <c r="D11" s="594"/>
      <c r="E11" s="594"/>
      <c r="F11" s="586" t="s">
        <v>1042</v>
      </c>
      <c r="G11" s="586"/>
      <c r="H11" s="586"/>
      <c r="I11" s="586"/>
      <c r="J11" s="586"/>
      <c r="K11" s="25"/>
      <c r="L11" s="25"/>
      <c r="M11" s="25"/>
      <c r="N11" s="25"/>
      <c r="O11" s="25"/>
      <c r="P11" s="25"/>
      <c r="Q11" s="25"/>
      <c r="R11" s="25"/>
      <c r="S11" s="25"/>
      <c r="T11" s="25"/>
      <c r="U11" s="25"/>
      <c r="V11" s="25"/>
      <c r="W11" s="25"/>
      <c r="X11" s="25"/>
      <c r="Y11" s="25"/>
      <c r="Z11" s="25"/>
      <c r="AA11" s="25"/>
      <c r="AB11" s="25"/>
      <c r="AC11" s="25"/>
      <c r="AD11" s="25"/>
    </row>
    <row r="12" spans="1:30" x14ac:dyDescent="0.3">
      <c r="A12" s="25"/>
      <c r="B12" s="587"/>
      <c r="C12" s="587"/>
      <c r="D12" s="587"/>
      <c r="E12" s="587"/>
      <c r="F12" s="587"/>
      <c r="G12" s="587"/>
      <c r="H12" s="587"/>
      <c r="I12" s="587"/>
      <c r="J12" s="587"/>
      <c r="K12" s="25"/>
      <c r="L12" s="25"/>
      <c r="M12" s="25"/>
      <c r="N12" s="25"/>
      <c r="O12" s="25"/>
      <c r="P12" s="25"/>
      <c r="Q12" s="25"/>
      <c r="R12" s="25"/>
      <c r="S12" s="25"/>
      <c r="T12" s="25"/>
      <c r="U12" s="25"/>
      <c r="V12" s="25"/>
      <c r="W12" s="25"/>
      <c r="X12" s="25"/>
      <c r="Y12" s="25"/>
      <c r="Z12" s="25"/>
      <c r="AA12" s="25"/>
      <c r="AB12" s="25"/>
      <c r="AC12" s="25"/>
      <c r="AD12" s="25"/>
    </row>
    <row r="13" spans="1:30" x14ac:dyDescent="0.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x14ac:dyDescent="0.3">
      <c r="A14" s="25"/>
      <c r="B14" s="588"/>
      <c r="C14" s="595"/>
      <c r="D14" s="595"/>
      <c r="E14" s="595"/>
      <c r="F14" s="595"/>
      <c r="G14" s="595"/>
      <c r="H14" s="595"/>
      <c r="I14" s="595"/>
      <c r="J14" s="595"/>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3">
      <c r="A15" s="25"/>
      <c r="B15" s="588"/>
      <c r="C15" s="595"/>
      <c r="D15" s="595"/>
      <c r="E15" s="595"/>
      <c r="F15" s="595"/>
      <c r="G15" s="595"/>
      <c r="H15" s="595"/>
      <c r="I15" s="595"/>
      <c r="J15" s="595"/>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3">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4">
      <c r="A17" s="25"/>
      <c r="B17" s="590" t="s">
        <v>1</v>
      </c>
      <c r="C17" s="590"/>
      <c r="D17" s="590"/>
      <c r="E17" s="590"/>
      <c r="F17" s="590"/>
      <c r="G17" s="590"/>
      <c r="H17" s="590"/>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x14ac:dyDescent="0.3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x14ac:dyDescent="0.3">
      <c r="A19" s="25"/>
      <c r="B19" s="596"/>
      <c r="C19" s="597"/>
      <c r="D19" s="600" t="s">
        <v>2</v>
      </c>
      <c r="E19" s="601"/>
      <c r="F19" s="601"/>
      <c r="G19" s="601"/>
      <c r="H19" s="602"/>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3">
      <c r="A20" s="25"/>
      <c r="B20" s="598"/>
      <c r="C20" s="599"/>
      <c r="D20" s="573"/>
      <c r="E20" s="574"/>
      <c r="F20" s="574"/>
      <c r="G20" s="574"/>
      <c r="H20" s="575"/>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x14ac:dyDescent="0.3">
      <c r="A21" s="25"/>
      <c r="B21" s="566"/>
      <c r="C21" s="567"/>
      <c r="D21" s="570" t="s">
        <v>3</v>
      </c>
      <c r="E21" s="571"/>
      <c r="F21" s="571"/>
      <c r="G21" s="571"/>
      <c r="H21" s="572"/>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x14ac:dyDescent="0.3">
      <c r="A22" s="25"/>
      <c r="B22" s="568"/>
      <c r="C22" s="569"/>
      <c r="D22" s="573"/>
      <c r="E22" s="574"/>
      <c r="F22" s="574"/>
      <c r="G22" s="574"/>
      <c r="H22" s="575"/>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x14ac:dyDescent="0.3">
      <c r="A23" s="25"/>
      <c r="B23" s="607"/>
      <c r="C23" s="608"/>
      <c r="D23" s="611" t="s">
        <v>4</v>
      </c>
      <c r="E23" s="612"/>
      <c r="F23" s="612"/>
      <c r="G23" s="612"/>
      <c r="H23" s="613"/>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x14ac:dyDescent="0.3">
      <c r="A24" s="25"/>
      <c r="B24" s="609"/>
      <c r="C24" s="610"/>
      <c r="D24" s="614"/>
      <c r="E24" s="615"/>
      <c r="F24" s="615"/>
      <c r="G24" s="615"/>
      <c r="H24" s="616"/>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x14ac:dyDescent="0.3">
      <c r="A25" s="25"/>
      <c r="B25" s="387"/>
      <c r="C25" s="388"/>
      <c r="D25" s="582" t="s">
        <v>5</v>
      </c>
      <c r="E25" s="583"/>
      <c r="F25" s="583"/>
      <c r="G25" s="583"/>
      <c r="H25" s="584"/>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3">
      <c r="A26" s="25"/>
      <c r="B26" s="389"/>
      <c r="C26" s="390"/>
      <c r="D26" s="582" t="s">
        <v>6</v>
      </c>
      <c r="E26" s="583"/>
      <c r="F26" s="583"/>
      <c r="G26" s="583"/>
      <c r="H26" s="584"/>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3">
      <c r="A27" s="25"/>
      <c r="B27" s="580" t="s">
        <v>7</v>
      </c>
      <c r="C27" s="581"/>
      <c r="D27" s="582" t="s">
        <v>8</v>
      </c>
      <c r="E27" s="583"/>
      <c r="F27" s="583"/>
      <c r="G27" s="583"/>
      <c r="H27" s="584"/>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3">
      <c r="A28" s="25"/>
      <c r="B28" s="603" t="s">
        <v>9</v>
      </c>
      <c r="C28" s="604"/>
      <c r="D28" s="605" t="s">
        <v>10</v>
      </c>
      <c r="E28" s="605"/>
      <c r="F28" s="605"/>
      <c r="G28" s="605"/>
      <c r="H28" s="606"/>
      <c r="I28" s="25"/>
      <c r="J28" s="585" t="s">
        <v>11</v>
      </c>
      <c r="K28" s="585"/>
      <c r="L28" s="585"/>
      <c r="M28" s="585"/>
      <c r="N28" s="585"/>
      <c r="O28" s="585"/>
      <c r="P28" s="585"/>
      <c r="Q28" s="585"/>
      <c r="R28" s="585"/>
      <c r="S28" s="25"/>
      <c r="T28" s="25"/>
      <c r="U28" s="25"/>
      <c r="V28" s="25"/>
      <c r="W28" s="25"/>
      <c r="X28" s="25"/>
      <c r="Y28" s="25"/>
      <c r="Z28" s="25"/>
      <c r="AA28" s="25"/>
      <c r="AB28" s="25"/>
      <c r="AC28" s="25"/>
      <c r="AD28" s="25"/>
    </row>
    <row r="29" spans="1:30" ht="24" customHeight="1" thickBot="1" x14ac:dyDescent="0.35">
      <c r="A29" s="25"/>
      <c r="B29" s="576"/>
      <c r="C29" s="577"/>
      <c r="D29" s="578" t="s">
        <v>12</v>
      </c>
      <c r="E29" s="578"/>
      <c r="F29" s="578"/>
      <c r="G29" s="578"/>
      <c r="H29" s="579"/>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3">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3">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3">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3">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3">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3">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3">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3">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3">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3">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3">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3">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3">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3">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3">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3">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3">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3">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3">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3">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3">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3">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3">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3">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3">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3">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3">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3">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3">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3">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3">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3">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3">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hidden="1" x14ac:dyDescent="0.3"/>
    <row r="98" hidden="1" x14ac:dyDescent="0.3"/>
    <row r="99" hidden="1" x14ac:dyDescent="0.3"/>
    <row r="100" hidden="1" x14ac:dyDescent="0.3"/>
    <row r="101" hidden="1" x14ac:dyDescent="0.3"/>
    <row r="102" hidden="1" x14ac:dyDescent="0.3"/>
    <row r="103" hidden="1" x14ac:dyDescent="0.3"/>
    <row r="104" hidden="1" x14ac:dyDescent="0.3"/>
    <row r="105" hidden="1" x14ac:dyDescent="0.3"/>
    <row r="106" hidden="1" x14ac:dyDescent="0.3"/>
    <row r="107" hidden="1" x14ac:dyDescent="0.3"/>
    <row r="108" hidden="1" x14ac:dyDescent="0.3"/>
    <row r="109" hidden="1" x14ac:dyDescent="0.3"/>
    <row r="110" hidden="1" x14ac:dyDescent="0.3"/>
    <row r="111" hidden="1" x14ac:dyDescent="0.3"/>
    <row r="112" hidden="1" x14ac:dyDescent="0.3"/>
    <row r="113" hidden="1" x14ac:dyDescent="0.3"/>
    <row r="114" hidden="1" x14ac:dyDescent="0.3"/>
    <row r="115" hidden="1" x14ac:dyDescent="0.3"/>
    <row r="116" hidden="1" x14ac:dyDescent="0.3"/>
    <row r="117" hidden="1" x14ac:dyDescent="0.3"/>
    <row r="118" hidden="1" x14ac:dyDescent="0.3"/>
    <row r="119" hidden="1" x14ac:dyDescent="0.3"/>
    <row r="120" hidden="1" x14ac:dyDescent="0.3"/>
    <row r="121" hidden="1" x14ac:dyDescent="0.3"/>
    <row r="122" hidden="1" x14ac:dyDescent="0.3"/>
    <row r="123" hidden="1" x14ac:dyDescent="0.3"/>
    <row r="124" hidden="1" x14ac:dyDescent="0.3"/>
    <row r="125" hidden="1" x14ac:dyDescent="0.3"/>
    <row r="126" hidden="1" x14ac:dyDescent="0.3"/>
    <row r="127" hidden="1" x14ac:dyDescent="0.3"/>
    <row r="128" hidden="1" x14ac:dyDescent="0.3"/>
    <row r="129" hidden="1" x14ac:dyDescent="0.3"/>
    <row r="130" hidden="1" x14ac:dyDescent="0.3"/>
  </sheetData>
  <sheetProtection algorithmName="SHA-512" hashValue="Mb2IFo/4jbyHSzVyJMyPzt5btdcJWs3VIMgLCfY1ikiwv4KPnLJcnTDn+poFGibYKU5q6WQoj1Wbmnk79+P2+A==" saltValue="KBc/93FoK3iOgEV94rljs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pageSetUpPr fitToPage="1"/>
  </x:sheetPr>
  <x:dimension ref="A1:K39"/>
  <x:sheetViews>
    <x:sheetView zoomScale="80" zoomScaleNormal="80" workbookViewId="0"/>
  </x:sheetViews>
  <x:sheetFormatPr defaultColWidth="0" defaultRowHeight="0" customHeight="1" zeroHeight="1" x14ac:dyDescent="0.3"/>
  <x:cols>
    <x:col min="1" max="1" width="4.5546875" customWidth="1"/>
    <x:col min="2" max="3" width="39.21875" customWidth="1"/>
    <x:col min="4" max="4" width="70.77734375" customWidth="1"/>
    <x:col min="5" max="5" width="6" customWidth="1"/>
    <x:col min="6" max="6" width="13.77734375" customWidth="1"/>
    <x:col min="7" max="11" width="8.77734375" customWidth="1"/>
    <x:col min="12" max="16384" width="8.77734375" hidden="1"/>
  </x:cols>
  <x:sheetData>
    <x:row r="1" spans="1:11" ht="15" thickBot="1" x14ac:dyDescent="0.35">
      <x:c r="A1" s="25"/>
      <x:c r="B1" s="25"/>
      <x:c r="C1" s="25"/>
      <x:c r="D1" s="25"/>
      <x:c r="E1" s="25"/>
      <x:c r="F1" s="25"/>
      <x:c r="G1" s="25"/>
      <x:c r="H1" s="25"/>
      <x:c r="I1" s="25"/>
      <x:c r="J1" s="25"/>
      <x:c r="K1" s="25"/>
    </x:row>
    <x:row r="2" spans="1:11" ht="32.549999999999997" customHeight="1" thickBot="1" x14ac:dyDescent="0.35">
      <x:c r="A2" s="25"/>
      <x:c r="B2" s="630" t="s">
        <x:v>13</x:v>
      </x:c>
      <x:c r="C2" s="631"/>
      <x:c r="D2" s="260" t="s">
        <x:v>14</x:v>
      </x:c>
      <x:c r="E2" s="40"/>
      <x:c r="F2" s="25"/>
      <x:c r="G2" s="25"/>
      <x:c r="H2" s="25"/>
      <x:c r="I2" s="25"/>
      <x:c r="J2" s="25"/>
      <x:c r="K2" s="25"/>
    </x:row>
    <x:row r="3" spans="1:11" ht="42" customHeight="1" x14ac:dyDescent="0.3">
      <x:c r="A3" s="25"/>
      <x:c r="B3" s="625" t="s">
        <x:v>15</x:v>
      </x:c>
      <x:c r="C3" s="626"/>
      <x:c r="D3" s="31" t="inlineStr">
        <x:v/>
        <x:is>
          <x:t xml:space="preserve">Mid Sussex</x:t>
        </x:is>
      </x:c>
      <x:c r="E3" s="25"/>
      <x:c r="F3" s="25"/>
      <x:c r="G3" s="25"/>
      <x:c r="H3" s="25"/>
      <x:c r="I3" s="25"/>
      <x:c r="J3" s="25"/>
      <x:c r="K3" s="25"/>
    </x:row>
    <x:row r="4" spans="1:11" ht="42" customHeight="1" x14ac:dyDescent="0.3">
      <x:c r="A4" s="25"/>
      <x:c r="B4" s="623" t="s">
        <x:v>16</x:v>
      </x:c>
      <x:c r="C4" s="624"/>
      <x:c r="D4" s="32" t="inlineStr">
        <x:v/>
        <x:is>
          <x:t xml:space="preserve">43 Wivelsfield road</x:t>
        </x:is>
      </x:c>
      <x:c r="E4" s="25"/>
      <x:c r="F4" s="25"/>
      <x:c r="G4" s="25"/>
      <x:c r="H4" s="25"/>
      <x:c r="I4" s="25"/>
      <x:c r="J4" s="25"/>
      <x:c r="K4" s="25"/>
    </x:row>
    <x:row r="5" spans="1:11" ht="42" customHeight="1" x14ac:dyDescent="0.3">
      <x:c r="A5" s="25"/>
      <x:c r="B5" s="623" t="s">
        <x:v>17</x:v>
      </x:c>
      <x:c r="C5" s="624"/>
      <x:c r="D5" s="32" t="inlineStr">
        <x:v/>
        <x:is>
          <x:t xml:space="preserve">Daniel White</x:t>
        </x:is>
      </x:c>
      <x:c r="E5" s="25"/>
      <x:c r="F5" s="25"/>
      <x:c r="G5" s="25"/>
      <x:c r="H5" s="25"/>
      <x:c r="I5" s="25"/>
      <x:c r="J5" s="25"/>
      <x:c r="K5" s="25"/>
    </x:row>
    <x:row r="6" spans="1:11" ht="42" customHeight="1" x14ac:dyDescent="0.3">
      <x:c r="A6" s="25"/>
      <x:c r="B6" s="623" t="s">
        <x:v>18</x:v>
      </x:c>
      <x:c r="C6" s="624"/>
      <x:c r="D6" s="32" t="inlineStr">
        <x:v/>
        <x:is>
          <x:t xml:space="preserve">Full planning consent</x:t>
        </x:is>
      </x:c>
      <x:c r="E6" s="25"/>
      <x:c r="F6" s="25"/>
      <x:c r="G6" s="25"/>
      <x:c r="H6" s="25"/>
      <x:c r="I6" s="25"/>
      <x:c r="J6" s="25"/>
      <x:c r="K6" s="25"/>
    </x:row>
    <x:row r="7" spans="1:11" ht="42" customHeight="1" x14ac:dyDescent="0.3">
      <x:c r="A7" s="25"/>
      <x:c r="B7" s="623" t="s">
        <x:v>19</x:v>
      </x:c>
      <x:c r="C7" s="624"/>
      <x:c r="D7" s="32" t="inlineStr">
        <x:v/>
        <x:is>
          <x:t xml:space="preserve">PP-13717385</x:t>
        </x:is>
      </x:c>
      <x:c r="E7" s="25"/>
      <x:c r="F7" s="25"/>
      <x:c r="G7" s="25"/>
      <x:c r="H7" s="25"/>
      <x:c r="I7" s="25"/>
      <x:c r="J7" s="25"/>
      <x:c r="K7" s="25"/>
    </x:row>
    <x:row r="8" spans="1:11" ht="42" customHeight="1" x14ac:dyDescent="0.3">
      <x:c r="A8" s="25"/>
      <x:c r="B8" s="623" t="s">
        <x:v>20</x:v>
      </x:c>
      <x:c r="C8" s="624"/>
      <x:c r="D8" s="32" t="inlineStr">
        <x:v/>
        <x:is>
          <x:t xml:space="preserve">Daniel White (Director)</x:t>
        </x:is>
      </x:c>
      <x:c r="E8" s="25"/>
      <x:c r="F8" s="25"/>
      <x:c r="G8" s="25"/>
      <x:c r="H8" s="25"/>
      <x:c r="I8" s="25"/>
      <x:c r="J8" s="25"/>
      <x:c r="K8" s="25"/>
    </x:row>
    <x:row r="9" spans="1:11" ht="42" customHeight="1" x14ac:dyDescent="0.3">
      <x:c r="A9" s="25"/>
      <x:c r="B9" s="623" t="s">
        <x:v>21</x:v>
      </x:c>
      <x:c r="C9" s="624"/>
      <x:c r="D9" s="287" t="inlineStr">
        <x:v/>
        <x:is>
          <x:t xml:space="preserve">19/06/2025</x:t>
        </x:is>
      </x:c>
      <x:c r="E9" s="25"/>
      <x:c r="F9" s="25"/>
      <x:c r="G9" s="25"/>
      <x:c r="H9" s="25"/>
      <x:c r="I9" s="25"/>
      <x:c r="J9" s="25"/>
      <x:c r="K9" s="25"/>
    </x:row>
    <x:row r="10" spans="1:11" ht="42" customHeight="1" x14ac:dyDescent="0.3">
      <x:c r="A10" s="25"/>
      <x:c r="B10" s="623" t="s">
        <x:v>22</x:v>
      </x:c>
      <x:c r="C10" s="624"/>
      <x:c r="D10" s="32"/>
      <x:c r="E10" s="25"/>
      <x:c r="F10" s="25"/>
      <x:c r="G10" s="25"/>
      <x:c r="H10" s="25"/>
      <x:c r="I10" s="25"/>
      <x:c r="J10" s="25"/>
      <x:c r="K10" s="25"/>
    </x:row>
    <x:row r="11" spans="1:11" ht="42" customHeight="1" thickBot="1" x14ac:dyDescent="0.35">
      <x:c r="A11" s="25"/>
      <x:c r="B11" s="627" t="s">
        <x:v>23</x:v>
      </x:c>
      <x:c r="C11" s="628"/>
      <x:c r="D11" s="201" t="inlineStr">
        <x:v/>
        <x:is>
          <x:t xml:space="preserve"/>
        </x:is>
      </x:c>
      <x:c r="E11" s="25"/>
      <x:c r="F11" s="25"/>
      <x:c r="G11" s="25"/>
      <x:c r="H11" s="25"/>
      <x:c r="I11" s="25"/>
      <x:c r="J11" s="25"/>
      <x:c r="K11" s="25"/>
    </x:row>
    <x:row r="12" spans="1:11" ht="42" customHeight="1" thickBot="1" x14ac:dyDescent="0.65">
      <x:c r="A12" s="25"/>
      <x:c r="B12" s="56" t="s">
        <x:v>24</x:v>
      </x:c>
      <x:c r="C12" s="145"/>
      <x:c r="D12" s="146"/>
      <x:c r="E12" s="25"/>
      <x:c r="F12" s="25"/>
      <x:c r="G12" s="25"/>
      <x:c r="H12" s="25"/>
      <x:c r="I12" s="25"/>
      <x:c r="J12" s="25"/>
      <x:c r="K12" s="25"/>
    </x:row>
    <x:row r="13" spans="1:11" ht="42" customHeight="1" x14ac:dyDescent="0.3">
      <x:c r="A13" s="25"/>
      <x:c r="B13" s="618" t="s">
        <x:v>25</x:v>
      </x:c>
      <x:c r="C13" s="147" t="s">
        <x:v>26</x:v>
      </x:c>
      <x:c r="D13" s="33" t="n">
        <x:v>10</x:v>
      </x:c>
      <x:c r="E13" s="621" t="str">
        <x:f>IF(D13&lt;10,"Caution - % target reduced below default ▲",IF(D13&gt;10,"Caution -Target increased above default ⚠",""))</x:f>
        <x:v/>
      </x:c>
      <x:c r="F13" s="622"/>
      <x:c r="G13" s="622"/>
      <x:c r="H13" s="622"/>
      <x:c r="I13" s="622"/>
      <x:c r="J13" s="435"/>
      <x:c r="K13" s="25"/>
    </x:row>
    <x:row r="14" spans="1:11" ht="42" customHeight="1" x14ac:dyDescent="0.3">
      <x:c r="A14" s="25"/>
      <x:c r="B14" s="619"/>
      <x:c r="C14" s="148" t="s">
        <x:v>27</x:v>
      </x:c>
      <x:c r="D14" s="34" t="n">
        <x:v>10</x:v>
      </x:c>
      <x:c r="E14" s="621" t="str">
        <x:f t="shared" ref="E14:E15" si="0">IF(D14&lt;10,"Caution - % target reduced below default ▲",IF(D14&gt;10,"Caution -Target increased above default ⚠",""))</x:f>
        <x:v/>
      </x:c>
      <x:c r="F14" s="622"/>
      <x:c r="G14" s="622"/>
      <x:c r="H14" s="622"/>
      <x:c r="I14" s="622"/>
      <x:c r="J14" s="25"/>
      <x:c r="K14" s="25"/>
    </x:row>
    <x:row r="15" spans="1:11" ht="42" customHeight="1" thickBot="1" x14ac:dyDescent="0.35">
      <x:c r="A15" s="25"/>
      <x:c r="B15" s="620"/>
      <x:c r="C15" s="149" t="s">
        <x:v>28</x:v>
      </x:c>
      <x:c r="D15" s="35" t="n">
        <x:v>10</x:v>
      </x:c>
      <x:c r="E15" s="621" t="str">
        <x:f t="shared" si="0"/>
        <x:v/>
      </x:c>
      <x:c r="F15" s="622"/>
      <x:c r="G15" s="622"/>
      <x:c r="H15" s="622"/>
      <x:c r="I15" s="622"/>
      <x:c r="J15" s="25"/>
      <x:c r="K15" s="25"/>
    </x:row>
    <x:row r="16" spans="1:11" ht="36.6" customHeight="1" thickBot="1" x14ac:dyDescent="0.35">
      <x:c r="A16" s="25"/>
      <x:c r="B16" s="153"/>
      <x:c r="C16" s="153"/>
      <x:c r="D16" s="501"/>
      <x:c r="E16" s="25"/>
      <x:c r="F16" s="25"/>
      <x:c r="G16" s="25"/>
      <x:c r="H16" s="25"/>
      <x:c r="I16" s="25"/>
      <x:c r="J16" s="25"/>
      <x:c r="K16" s="25"/>
    </x:row>
    <x:row r="17" spans="1:11" ht="40.950000000000003" customHeight="1" x14ac:dyDescent="0.3">
      <x:c r="A17" s="25"/>
      <x:c r="B17" s="618" t="s">
        <x:v>1032</x:v>
      </x:c>
      <x:c r="C17" s="147" t="s">
        <x:v>29</x:v>
      </x:c>
      <x:c r="D17" s="33">
        <x:v>0</x:v>
      </x:c>
      <x:c r="E17" s="617" t="str">
        <x:f>IF(D17=0,"","Unit increase Targets must be agreed with LPA ⚠")</x:f>
        <x:v/>
      </x:c>
      <x:c r="F17" s="617"/>
      <x:c r="G17" s="617"/>
      <x:c r="H17" s="617"/>
      <x:c r="I17" s="617"/>
      <x:c r="J17" s="25"/>
      <x:c r="K17" s="25"/>
    </x:row>
    <x:row r="18" spans="1:11" ht="40.950000000000003" customHeight="1" x14ac:dyDescent="0.3">
      <x:c r="A18" s="25"/>
      <x:c r="B18" s="619"/>
      <x:c r="C18" s="148" t="s">
        <x:v>30</x:v>
      </x:c>
      <x:c r="D18" s="34">
        <x:v>0</x:v>
      </x:c>
      <x:c r="E18" s="617" t="str">
        <x:f t="shared" ref="E18:E19" si="1">IF(D18=0,"","Unit increase Targets must be agreed with LPA ⚠")</x:f>
        <x:v/>
      </x:c>
      <x:c r="F18" s="617"/>
      <x:c r="G18" s="617"/>
      <x:c r="H18" s="617"/>
      <x:c r="I18" s="617"/>
      <x:c r="J18" s="25"/>
      <x:c r="K18" s="25"/>
    </x:row>
    <x:row r="19" spans="1:11" ht="40.950000000000003" customHeight="1" thickBot="1" x14ac:dyDescent="0.35">
      <x:c r="A19" s="25"/>
      <x:c r="B19" s="620"/>
      <x:c r="C19" s="149" t="s">
        <x:v>31</x:v>
      </x:c>
      <x:c r="D19" s="35">
        <x:v>0</x:v>
      </x:c>
      <x:c r="E19" s="617" t="str">
        <x:f t="shared" si="1"/>
        <x:v/>
      </x:c>
      <x:c r="F19" s="617"/>
      <x:c r="G19" s="617"/>
      <x:c r="H19" s="617"/>
      <x:c r="I19" s="617"/>
      <x:c r="J19" s="25"/>
      <x:c r="K19" s="25"/>
    </x:row>
    <x:row r="20" spans="1:11" ht="23.55" customHeight="1" x14ac:dyDescent="0.3">
      <x:c r="A20" s="25"/>
      <x:c r="B20" s="25"/>
      <x:c r="C20" s="25"/>
      <x:c r="D20" s="25"/>
      <x:c r="E20" s="153"/>
      <x:c r="F20" s="153"/>
      <x:c r="G20" s="153"/>
      <x:c r="H20" s="153"/>
      <x:c r="I20" s="153"/>
      <x:c r="J20" s="25"/>
      <x:c r="K20" s="25"/>
    </x:row>
    <x:row r="21" spans="1:11" ht="34.200000000000003" customHeight="1" thickBot="1" x14ac:dyDescent="0.35">
      <x:c r="A21" s="25"/>
      <x:c r="B21" s="629" t="s">
        <x:v>32</x:v>
      </x:c>
      <x:c r="C21" s="629"/>
      <x:c r="D21" s="629"/>
      <x:c r="E21" s="153"/>
      <x:c r="F21" s="153"/>
      <x:c r="G21" s="153"/>
      <x:c r="H21" s="153"/>
      <x:c r="I21" s="153"/>
      <x:c r="J21" s="25"/>
      <x:c r="K21" s="25"/>
    </x:row>
    <x:row r="22" spans="1:11" ht="40.950000000000003" customHeight="1" x14ac:dyDescent="0.3">
      <x:c r="A22" s="25"/>
      <x:c r="B22" s="625" t="s">
        <x:v>33</x:v>
      </x:c>
      <x:c r="C22" s="626"/>
      <x:c r="D22" s="31"/>
      <x:c r="E22" s="153"/>
      <x:c r="F22" s="153"/>
      <x:c r="G22" s="153"/>
      <x:c r="H22" s="153"/>
      <x:c r="I22" s="153"/>
      <x:c r="J22" s="25"/>
      <x:c r="K22" s="25"/>
    </x:row>
    <x:row r="23" spans="1:11" ht="40.950000000000003" customHeight="1" thickBot="1" x14ac:dyDescent="0.35">
      <x:c r="A23" s="25"/>
      <x:c r="B23" s="627" t="s">
        <x:v>34</x:v>
      </x:c>
      <x:c r="C23" s="628"/>
      <x:c r="D23" s="288"/>
      <x:c r="E23" s="153"/>
      <x:c r="F23" s="153"/>
      <x:c r="G23" s="153"/>
      <x:c r="H23" s="153"/>
      <x:c r="I23" s="153"/>
      <x:c r="J23" s="25"/>
      <x:c r="K23" s="25"/>
    </x:row>
    <x:row r="24" spans="1:11" ht="40.950000000000003" customHeight="1" x14ac:dyDescent="0.3">
      <x:c r="A24" s="25"/>
      <x:c r="B24" s="25"/>
      <x:c r="C24" s="25"/>
      <x:c r="D24" s="25"/>
      <x:c r="E24" s="25"/>
      <x:c r="F24" s="195"/>
      <x:c r="G24" s="195"/>
      <x:c r="H24" s="195"/>
      <x:c r="I24" s="195"/>
      <x:c r="J24" s="25"/>
      <x:c r="K24" s="25"/>
    </x:row>
    <x:row r="25" spans="1:11" ht="40.950000000000003" hidden="1" customHeight="1" x14ac:dyDescent="0.3">
      <x:c r="A25" s="25"/>
      <x:c r="B25" s="25"/>
      <x:c r="C25" s="25"/>
      <x:c r="D25" s="25"/>
      <x:c r="E25" s="25"/>
      <x:c r="F25" s="195"/>
      <x:c r="G25" s="195"/>
      <x:c r="H25" s="195"/>
      <x:c r="I25" s="195"/>
      <x:c r="J25" s="25"/>
      <x:c r="K25" s="25"/>
    </x:row>
    <x:row r="26" spans="1:11" ht="40.950000000000003" hidden="1" customHeight="1" x14ac:dyDescent="0.3">
      <x:c r="A26" s="25"/>
      <x:c r="B26" s="25"/>
      <x:c r="C26" s="25"/>
      <x:c r="D26" s="25"/>
      <x:c r="E26" s="25"/>
      <x:c r="F26" s="195"/>
      <x:c r="G26" s="195"/>
      <x:c r="H26" s="195"/>
      <x:c r="I26" s="195"/>
      <x:c r="J26" s="25"/>
      <x:c r="K26" s="25"/>
    </x:row>
    <x:row r="27" spans="1:11" ht="40.950000000000003" hidden="1" customHeight="1" x14ac:dyDescent="0.3">
      <x:c r="A27" s="25"/>
      <x:c r="B27" s="25"/>
      <x:c r="C27" s="25"/>
      <x:c r="D27" s="25"/>
      <x:c r="E27" s="25"/>
      <x:c r="F27" s="195"/>
      <x:c r="G27" s="195"/>
      <x:c r="H27" s="195"/>
      <x:c r="I27" s="195"/>
      <x:c r="J27" s="25"/>
      <x:c r="K27" s="25"/>
    </x:row>
    <x:row r="28" spans="1:11" ht="36.6" hidden="1" customHeight="1" x14ac:dyDescent="0.3">
      <x:c r="A28" s="25"/>
      <x:c r="B28" s="25"/>
      <x:c r="C28" s="25"/>
      <x:c r="D28" s="25"/>
      <x:c r="E28" s="25"/>
      <x:c r="F28" s="25"/>
      <x:c r="G28" s="25"/>
      <x:c r="H28" s="25"/>
      <x:c r="I28" s="25"/>
      <x:c r="J28" s="25"/>
      <x:c r="K28" s="25"/>
    </x:row>
    <x:row r="29" spans="1:11" ht="14.55" hidden="1" customHeight="1" x14ac:dyDescent="0.3">
      <x:c r="A29" s="25"/>
      <x:c r="B29" s="25"/>
      <x:c r="C29" s="25"/>
      <x:c r="D29" s="25"/>
      <x:c r="E29" s="25"/>
      <x:c r="F29" s="25"/>
      <x:c r="G29" s="25"/>
      <x:c r="H29" s="25"/>
      <x:c r="I29" s="25"/>
      <x:c r="J29" s="25"/>
      <x:c r="K29" s="25"/>
    </x:row>
    <x:row r="30" spans="1:11" ht="14.55" hidden="1" customHeight="1" x14ac:dyDescent="0.3">
      <x:c r="A30" s="25"/>
      <x:c r="B30" s="25"/>
      <x:c r="C30" s="25"/>
      <x:c r="D30" s="25"/>
      <x:c r="E30" s="25"/>
      <x:c r="F30" s="25"/>
      <x:c r="G30" s="25"/>
      <x:c r="H30" s="25"/>
      <x:c r="I30" s="25"/>
      <x:c r="J30" s="25"/>
      <x:c r="K30" s="25"/>
    </x:row>
    <x:row r="31" spans="1:11" ht="14.55" hidden="1" customHeight="1" x14ac:dyDescent="0.3">
      <x:c r="A31" s="25"/>
      <x:c r="B31" s="25"/>
      <x:c r="C31" s="25"/>
      <x:c r="D31" s="25"/>
      <x:c r="E31" s="25"/>
      <x:c r="F31" s="25"/>
      <x:c r="G31" s="25"/>
      <x:c r="H31" s="25"/>
      <x:c r="I31" s="25"/>
      <x:c r="J31" s="25"/>
      <x:c r="K31" s="25"/>
    </x:row>
    <x:row r="32" spans="1:11" ht="14.55" hidden="1" customHeight="1" x14ac:dyDescent="0.3">
      <x:c r="A32" s="25"/>
      <x:c r="B32" s="25"/>
      <x:c r="C32" s="25"/>
      <x:c r="D32" s="25"/>
      <x:c r="E32" s="25"/>
      <x:c r="F32" s="25"/>
      <x:c r="G32" s="25"/>
      <x:c r="H32" s="25"/>
      <x:c r="I32" s="25"/>
      <x:c r="J32" s="25"/>
      <x:c r="K32" s="25"/>
    </x:row>
    <x:row r="33" spans="1:11" ht="15" hidden="1" customHeight="1" x14ac:dyDescent="0.3">
      <x:c r="A33" s="25"/>
      <x:c r="B33" s="25"/>
      <x:c r="C33" s="25"/>
      <x:c r="D33" s="25"/>
      <x:c r="E33" s="25"/>
      <x:c r="F33" s="25"/>
      <x:c r="G33" s="25"/>
      <x:c r="H33" s="25"/>
      <x:c r="I33" s="25"/>
      <x:c r="J33" s="25"/>
      <x:c r="K33" s="25"/>
    </x:row>
    <x:row r="34" spans="1:11" ht="14.4" hidden="1" x14ac:dyDescent="0.3">
      <x:c r="A34" s="25"/>
      <x:c r="B34" s="25"/>
      <x:c r="C34" s="25"/>
      <x:c r="D34" s="25"/>
      <x:c r="E34" s="25"/>
      <x:c r="F34" s="25"/>
      <x:c r="G34" s="25"/>
      <x:c r="H34" s="25"/>
      <x:c r="I34" s="25"/>
      <x:c r="J34" s="25"/>
      <x:c r="K34" s="25"/>
    </x:row>
    <x:row r="35" spans="1:11" ht="14.4" hidden="1" x14ac:dyDescent="0.3">
      <x:c r="A35" s="25"/>
      <x:c r="B35" s="25"/>
      <x:c r="C35" s="25"/>
      <x:c r="D35" s="25"/>
      <x:c r="E35" s="25"/>
      <x:c r="F35" s="25"/>
      <x:c r="G35" s="25"/>
      <x:c r="H35" s="25"/>
      <x:c r="I35" s="25"/>
      <x:c r="J35" s="25"/>
      <x:c r="K35" s="25"/>
    </x:row>
    <x:row r="36" spans="1:11" ht="14.4" hidden="1" x14ac:dyDescent="0.3">
      <x:c r="A36" s="25"/>
      <x:c r="B36" s="25"/>
      <x:c r="C36" s="25"/>
      <x:c r="D36" s="25"/>
      <x:c r="E36" s="25"/>
      <x:c r="F36" s="25"/>
      <x:c r="G36" s="25"/>
      <x:c r="H36" s="25"/>
      <x:c r="I36" s="25"/>
      <x:c r="J36" s="25"/>
      <x:c r="K36" s="25"/>
    </x:row>
    <x:row r="37" spans="1:11" ht="14.4" hidden="1" x14ac:dyDescent="0.3">
      <x:c r="A37" s="25"/>
      <x:c r="B37" s="25"/>
      <x:c r="C37" s="25"/>
      <x:c r="D37" s="25"/>
      <x:c r="E37" s="25"/>
      <x:c r="F37" s="25"/>
      <x:c r="G37" s="25"/>
      <x:c r="H37" s="25"/>
      <x:c r="I37" s="25"/>
      <x:c r="J37" s="25"/>
      <x:c r="K37" s="25"/>
    </x:row>
    <x:row r="38" spans="1:11" ht="14.4" hidden="1" x14ac:dyDescent="0.3"/>
    <x:row r="39" spans="1:11" ht="14.4" hidden="1" x14ac:dyDescent="0.3"/>
  </x:sheetData>
  <x:sheetProtection algorithmName="SHA-512" hashValue="5Jv+7qiEd2bDFm3OcE24MygvZkql1/AfRhQuozpsc+p8XnhHThwcsqjN82goL/jbjAu3hrjG4UeBrVNK7rCQfA==" saltValue="Wt1ywmZuMp4y7MfaHQIrag==" spinCount="100000" sheet="1" objects="1" scenarios="1"/>
  <x:mergeCells count="21">
    <x:mergeCell ref="B7:C7"/>
    <x:mergeCell ref="B2:C2"/>
    <x:mergeCell ref="B3:C3"/>
    <x:mergeCell ref="B4:C4"/>
    <x:mergeCell ref="B5:C5"/>
    <x:mergeCell ref="B6:C6"/>
    <x:mergeCell ref="B8:C8"/>
    <x:mergeCell ref="B9:C9"/>
    <x:mergeCell ref="B10:C10"/>
    <x:mergeCell ref="B22:C22"/>
    <x:mergeCell ref="B23:C23"/>
    <x:mergeCell ref="B11:C11"/>
    <x:mergeCell ref="B21:D21"/>
    <x:mergeCell ref="B17:B19"/>
    <x:mergeCell ref="E17:I17"/>
    <x:mergeCell ref="E18:I18"/>
    <x:mergeCell ref="E19:I19"/>
    <x:mergeCell ref="B13:B15"/>
    <x:mergeCell ref="E13:I13"/>
    <x:mergeCell ref="E14:I14"/>
    <x:mergeCell ref="E15:I15"/>
  </x:mergeCells>
  <x:conditionalFormatting sqref="D13:D15">
    <x:cfRule type="cellIs" dxfId="418" priority="9" operator="greaterThan">
      <x:formula>10</x:formula>
    </x:cfRule>
    <x:cfRule type="cellIs" dxfId="417" priority="11" operator="lessThan">
      <x:formula>10</x:formula>
    </x:cfRule>
  </x:conditionalFormatting>
  <x:conditionalFormatting sqref="F24:I27 E17:I19">
    <x:cfRule type="containsText" dxfId="416" priority="2" operator="containsText" text="LPA">
      <x:formula>NOT(ISERROR(SEARCH("LPA",E17)))</x:formula>
    </x:cfRule>
    <x:cfRule type="containsText" dxfId="415" priority="5" operator="containsText" text="Caution - % changed from default">
      <x:formula>NOT(ISERROR(SEARCH("Caution - % changed from default",E17)))</x:formula>
    </x:cfRule>
  </x:conditionalFormatting>
  <x:conditionalFormatting sqref="D17:D19">
    <x:cfRule type="cellIs" dxfId="414" priority="3" operator="lessThan">
      <x:formula>0</x:formula>
    </x:cfRule>
  </x:conditionalFormatting>
  <x:conditionalFormatting sqref="E13:I15">
    <x:cfRule type="expression" dxfId="413" priority="184">
      <x:formula>$D13&gt;10</x:formula>
    </x:cfRule>
    <x:cfRule type="expression" dxfId="412" priority="185">
      <x:formula>$D13&lt;10</x:formula>
    </x:cfRule>
  </x:conditionalFormatting>
  <x:dataValidations count="3">
    <x:dataValidation type="date" operator="lessThanOrEqual" allowBlank="1" showErrorMessage="1" errorTitle="Error" error="Future dates cannot be added" sqref="D9 D23" xr:uid="{E328DE73-888F-4868-B667-88379BEC6CEB}">
      <x:formula1>TODAY()</x:formula1>
    </x:dataValidation>
    <x:dataValidation errorStyle="warning" allowBlank="1" showErrorMessage="1" errorTitle="Caution" error="Please chek full list before entering non standrad LPA." sqref="D3" xr:uid="{24DAA5D7-891A-4C77-B726-D52F268E34DD}"/>
    <x:dataValidation type="whole" allowBlank="1" showInputMessage="1" showErrorMessage="1" sqref="D13:D19" xr:uid="{CA3450D9-15FB-48B6-87E8-0017A46D3621}">
      <x:formula1>0</x:formula1>
      <x:formula2>10000000000</x:formula2>
    </x:dataValidation>
  </x:dataValidations>
  <x:pageMargins left="0.7" right="0.7" top="0.75" bottom="0.75" header="0.3" footer="0.3"/>
  <x:pageSetup paperSize="9" scale="58" orientation="portrait" horizontalDpi="1200" verticalDpi="1200" r:id="rId1"/>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pageSetUpPr fitToPage="1"/>
  </x:sheetPr>
  <x:dimension ref="A1:R51"/>
  <x:sheetViews>
    <x:sheetView zoomScale="80" zoomScaleNormal="80" workbookViewId="0"/>
  </x:sheetViews>
  <x:sheetFormatPr defaultColWidth="0" defaultRowHeight="14.4" zeroHeight="1" x14ac:dyDescent="0.3"/>
  <x:cols>
    <x:col min="1" max="1" width="4.5546875" customWidth="1"/>
    <x:col min="2" max="2" width="63.21875" customWidth="1"/>
    <x:col min="3" max="3" width="48.77734375" bestFit="1" customWidth="1"/>
    <x:col min="4" max="4" width="46.77734375" customWidth="1"/>
    <x:col min="5" max="8" width="8.77734375" customWidth="1"/>
    <x:col min="9" max="13" width="8.77734375" hidden="1" customWidth="1"/>
    <x:col min="14" max="18" width="0" hidden="1" customWidth="1"/>
    <x:col min="19" max="16384" width="8.77734375" hidden="1"/>
  </x:cols>
  <x:sheetData>
    <x:row r="1" spans="1:14" ht="15" thickBot="1" x14ac:dyDescent="0.35">
      <x:c r="A1" s="25"/>
      <x:c r="B1" s="25"/>
      <x:c r="C1" s="25"/>
      <x:c r="D1" s="25"/>
      <x:c r="E1" s="25"/>
      <x:c r="F1" s="25"/>
      <x:c r="G1" s="25"/>
      <x:c r="H1" s="25"/>
      <x:c r="I1" s="25"/>
      <x:c r="J1" s="25"/>
      <x:c r="K1" s="25"/>
      <x:c r="L1" s="25"/>
      <x:c r="M1" s="25"/>
      <x:c r="N1" s="25"/>
    </x:row>
    <x:row r="2" spans="1:14" ht="24" customHeight="1" x14ac:dyDescent="0.3">
      <x:c r="A2" s="53"/>
      <x:c r="B2" s="200" t="s">
        <x:v>35</x:v>
      </x:c>
      <x:c r="C2" s="636" t="str">
        <x:f>IF('2. Site Details'!D4="","Enter site name on 2. Site Details",'2. Site Details'!D4)</x:f>
        <x:v>Enter site name on 2. Site Details</x:v>
      </x:c>
      <x:c r="D2" s="637"/>
      <x:c r="E2" s="25"/>
      <x:c r="F2" s="25"/>
      <x:c r="G2" s="25"/>
      <x:c r="H2" s="25"/>
      <x:c r="I2" s="25"/>
      <x:c r="J2" s="25"/>
      <x:c r="K2" s="25"/>
      <x:c r="L2" s="25"/>
      <x:c r="M2" s="25"/>
      <x:c r="N2" s="25"/>
    </x:row>
    <x:row r="3" spans="1:14" ht="24" customHeight="1" thickBot="1" x14ac:dyDescent="0.35">
      <x:c r="A3" s="53"/>
      <x:c r="B3" s="199" t="s">
        <x:v>13</x:v>
      </x:c>
      <x:c r="C3" s="634" t="s">
        <x:v>36</x:v>
      </x:c>
      <x:c r="D3" s="635"/>
      <x:c r="E3" s="25"/>
      <x:c r="F3" s="25"/>
      <x:c r="G3" s="25"/>
      <x:c r="H3" s="25"/>
      <x:c r="I3" s="25"/>
      <x:c r="J3" s="25"/>
      <x:c r="K3" s="25"/>
      <x:c r="L3" s="25"/>
      <x:c r="M3" s="25"/>
      <x:c r="N3" s="25"/>
    </x:row>
    <x:row r="4" spans="1:14" ht="14.55" customHeight="1" x14ac:dyDescent="0.3">
      <x:c r="A4" s="53"/>
      <x:c r="B4" s="53"/>
      <x:c r="C4" s="53"/>
      <x:c r="D4" s="53"/>
      <x:c r="E4" s="25"/>
      <x:c r="F4" s="25"/>
      <x:c r="G4" s="25"/>
      <x:c r="H4" s="25"/>
      <x:c r="I4" s="25"/>
      <x:c r="J4" s="25"/>
      <x:c r="K4" s="25"/>
      <x:c r="L4" s="25"/>
      <x:c r="M4" s="25"/>
      <x:c r="N4" s="25"/>
    </x:row>
    <x:row r="5" spans="1:14" ht="36" customHeight="1" thickBot="1" x14ac:dyDescent="0.35">
      <x:c r="A5" s="40"/>
      <x:c r="B5" s="56" t="s">
        <x:v>37</x:v>
      </x:c>
      <x:c r="C5" s="41"/>
      <x:c r="D5" s="41"/>
      <x:c r="E5" s="25"/>
      <x:c r="F5" s="25"/>
      <x:c r="G5" s="25"/>
      <x:c r="H5" s="25"/>
      <x:c r="I5" s="25"/>
      <x:c r="J5" s="25"/>
      <x:c r="K5" s="25"/>
      <x:c r="L5" s="25"/>
      <x:c r="M5" s="25"/>
      <x:c r="N5" s="25"/>
    </x:row>
    <x:row r="6" spans="1:14" ht="42" customHeight="1" x14ac:dyDescent="0.3">
      <x:c r="A6" s="25"/>
      <x:c r="B6" s="37" t="s">
        <x:v>38</x:v>
      </x:c>
      <x:c r="C6" s="150" t="inlineStr">
        <x:v/>
        <x:is>
          <x:t xml:space="preserve">Residential</x:t>
        </x:is>
      </x:c>
      <x:c r="D6" s="202" t="str">
        <x:f>IF(AND(C6="Residential",C9="Unknown number"),"Site area must be less than 5,000 m2",IF(C6="","","Site area must be less than 10,000 m2"))</x:f>
        <x:v/>
      </x:c>
      <x:c r="E6" s="632" t="str">
        <x:f>IF(AND(C9="Unknown number", C6="Residential"),"Site area limited by unknown number of dwellings ⚠", "")</x:f>
        <x:v/>
      </x:c>
      <x:c r="F6" s="633"/>
      <x:c r="G6" s="633"/>
      <x:c r="H6" s="633"/>
      <x:c r="I6" s="25"/>
      <x:c r="J6" s="25"/>
      <x:c r="K6" s="25"/>
      <x:c r="L6" s="25"/>
      <x:c r="M6" s="25"/>
      <x:c r="N6" s="25"/>
    </x:row>
    <x:row r="7" spans="1:14" ht="42" customHeight="1" x14ac:dyDescent="0.3">
      <x:c r="A7" s="25"/>
      <x:c r="B7" s="42" t="s">
        <x:v>39</x:v>
      </x:c>
      <x:c r="C7" s="151" t="n">
        <x:v>357.8552</x:v>
      </x:c>
      <x:c r="D7" s="203" t="str">
        <x:f>IF(AND(D6="Site area must be less than 10,000 m2",C7&gt;=10000),"ERROR- Site too large for metric  - USE MAIN METRIC ▲",IF(AND(D6="Site area must be less than 5,000 m2",C7&gt;=5000),"ERROR- Site too large for metric  - USE MAIN METRIC ▲",""))</x:f>
        <x:v/>
      </x:c>
      <x:c r="E7" s="25"/>
      <x:c r="F7" s="25"/>
      <x:c r="G7" s="25"/>
      <x:c r="H7" s="25"/>
      <x:c r="I7" s="25"/>
      <x:c r="J7" s="25"/>
      <x:c r="K7" s="25"/>
      <x:c r="L7" s="25"/>
      <x:c r="M7" s="25"/>
      <x:c r="N7" s="25"/>
    </x:row>
    <x:row r="8" spans="1:14" ht="42" customHeight="1" x14ac:dyDescent="0.3">
      <x:c r="A8" s="25"/>
      <x:c r="B8" s="396" t="str">
        <x:f>IF(OR(C6="Residential",C6="Other"),"N/A",IF(C6="","","16. Building footprint (m2) of commercial buildings proposed within the development site (or zero if none)"))</x:f>
        <x:v/>
      </x:c>
      <x:c r="C8" s="151"/>
      <x:c r="D8" s="204" t="str">
        <x:f>IF(AND(B8="n/a",C8&lt;&gt;""),"ERROR- Not required",IF(AND(C8&lt;&gt;"",C8&gt;=1000),"ERROR- Footprint too large for metric  - USE MAIN METRIC",IF(AND(C8&lt;&gt;"",C8&gt;C7),"ERROR - Footprint larger than development area","")))</x:f>
        <x:v/>
      </x:c>
      <x:c r="E8" s="25"/>
      <x:c r="F8" s="25"/>
      <x:c r="G8" s="25"/>
      <x:c r="H8" s="25"/>
      <x:c r="I8" s="25"/>
      <x:c r="J8" s="25"/>
      <x:c r="K8" s="25"/>
      <x:c r="L8" s="25"/>
      <x:c r="M8" s="25"/>
      <x:c r="N8" s="25"/>
    </x:row>
    <x:row r="9" spans="1:14" ht="42" customHeight="1" thickBot="1" x14ac:dyDescent="0.35">
      <x:c r="A9" s="25"/>
      <x:c r="B9" s="397" t="str">
        <x:f>IF(OR(C6="Commercial",C6="Other"),"N/A",IF(C6="","","17. Number of dwellings proposed within the development site"))</x:f>
        <x:v/>
      </x:c>
      <x:c r="C9" s="152" t="inlineStr">
        <x:v/>
        <x:is>
          <x:t xml:space="preserve">Between 1 - 9 dwellings</x:t>
        </x:is>
      </x:c>
      <x:c r="D9" s="205" t="str">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v/>
      </x:c>
      <x:c r="E9" s="25"/>
      <x:c r="F9" s="25"/>
      <x:c r="G9" s="25"/>
      <x:c r="H9" s="25"/>
      <x:c r="I9" s="25"/>
      <x:c r="J9" s="25"/>
      <x:c r="K9" s="25"/>
      <x:c r="L9" s="25"/>
      <x:c r="M9" s="25"/>
      <x:c r="N9" s="25"/>
    </x:row>
    <x:row r="10" spans="1:14" ht="36" customHeight="1" thickBot="1" x14ac:dyDescent="0.35">
      <x:c r="A10" s="25"/>
      <x:c r="B10" s="56" t="s">
        <x:v>1033</x:v>
      </x:c>
      <x:c r="C10" s="43"/>
      <x:c r="D10" s="44"/>
      <x:c r="E10" s="25"/>
      <x:c r="F10" s="25"/>
      <x:c r="G10" s="25"/>
      <x:c r="H10" s="25"/>
      <x:c r="I10" s="25"/>
      <x:c r="J10" s="25"/>
      <x:c r="K10" s="25"/>
      <x:c r="L10" s="25"/>
      <x:c r="M10" s="25"/>
      <x:c r="N10" s="25"/>
    </x:row>
    <x:row r="11" spans="1:14" ht="42" customHeight="1" x14ac:dyDescent="0.3">
      <x:c r="A11" s="25"/>
      <x:c r="B11" s="37" t="s">
        <x:v>40</x:v>
      </x:c>
      <x:c r="C11" s="150" t="inlineStr">
        <x:v/>
        <x:is>
          <x:t xml:space="preserve">No</x:t>
        </x:is>
      </x:c>
      <x:c r="D11" s="374" t="str">
        <x:f>IF(C11="On site","ERROR- Site too complex for metric - USE MAIN METRIC ▲",IF(C11="Within 500m of site boundary","Consider using main metric tool ⚠",""))</x:f>
        <x:v/>
      </x:c>
      <x:c r="E11" s="25"/>
      <x:c r="F11" s="25"/>
      <x:c r="G11" s="25"/>
      <x:c r="H11" s="25"/>
      <x:c r="I11" s="25"/>
      <x:c r="J11" s="25"/>
      <x:c r="K11" s="25"/>
      <x:c r="L11" s="25"/>
      <x:c r="M11" s="25"/>
      <x:c r="N11" s="25"/>
    </x:row>
    <x:row r="12" spans="1:14" ht="42" customHeight="1" x14ac:dyDescent="0.3">
      <x:c r="A12" s="25"/>
      <x:c r="B12" s="42" t="s">
        <x:v>41</x:v>
      </x:c>
      <x:c r="C12" s="151" t="inlineStr">
        <x:v/>
        <x:is>
          <x:t xml:space="preserve">Within 500m of site boundary</x:t>
        </x:is>
      </x:c>
      <x:c r="D12" s="407" t="str">
        <x:f>IF(C12="On site","ERROR- Site too complex for metric - USE MAIN METRIC ▲",IF(C12="Within 500m of site boundary","Consider using main metric tool ⚠",""))</x:f>
        <x:v/>
      </x:c>
      <x:c r="E12" s="25"/>
      <x:c r="F12" s="25"/>
      <x:c r="G12" s="25"/>
      <x:c r="H12" s="25"/>
      <x:c r="I12" s="25"/>
      <x:c r="J12" s="25"/>
      <x:c r="K12" s="25"/>
      <x:c r="L12" s="25"/>
      <x:c r="M12" s="25"/>
      <x:c r="N12" s="25"/>
    </x:row>
    <x:row r="13" spans="1:14" ht="79.2" customHeight="1" x14ac:dyDescent="0.3">
      <x:c r="A13" s="25"/>
      <x:c r="B13" s="42" t="s">
        <x:v>42</x:v>
      </x:c>
      <x:c r="C13" s="638" t="inlineStr">
        <x:v/>
        <x:is>
          <x:t xml:space="preserve">Priority Habitat Inventory - Deciduous Woodland (England) (NE UID: 81ec2a02-58b5-4595-ba30-3381f35c8592) - Within 500m 
Priority Habitat Inventory - Deciduous Woodland (England) (NE UID: 7d0c77a6-f40c-477c-a93b-9be5352e78e0) - Within 500m 
Priority Habitat Inventory - Lowland Meadows (England) (NE UID: 967a241a-3fda-4cef-a6d1-dfdaf4d54ff7) - Within 500m 
Priority Habitat Inventory - Deciduous Woodland (England) (NE UID: 734e01b5-b24d-49ce-81b1-833a29727ea0) - Within 500m 
Priority Habitat Inventory - Deciduous Woodland (England) (NE UID: 28f58401-4da5-4949-ae3b-4c708fa8be4a) - Within 500m 
Priority Habitat Inventory - Deciduous Woodland (England) (NE UID: 5af700ea-918e-45b1-92de-f4473af667eb) - Within 500m 
Priority Habitat Inventory - Deciduous Woodland (England) (NE UID: d61a8501-a7d2-4940-9dab-169f07a1fda7) - Within 500m 
Priority Habitat Inventory - Deciduous Woodland (England) (NE UID: f5f8e270-fa3d-4fa3-8bac-019f0d277220) - Within 500m 
</x:t>
        </x:is>
      </x:c>
      <x:c r="D13" s="639"/>
      <x:c r="E13" s="25"/>
      <x:c r="F13" s="25"/>
      <x:c r="G13" s="25"/>
      <x:c r="H13" s="25"/>
      <x:c r="I13" s="25"/>
      <x:c r="J13" s="25"/>
      <x:c r="K13" s="25"/>
      <x:c r="L13" s="25"/>
      <x:c r="M13" s="25"/>
      <x:c r="N13" s="25"/>
    </x:row>
    <x:row r="14" spans="1:14" ht="79.2" customHeight="1" thickBot="1" x14ac:dyDescent="0.35">
      <x:c r="A14" s="25"/>
      <x:c r="B14" s="36" t="s">
        <x:v>43</x:v>
      </x:c>
      <x:c r="C14" s="640" t="inlineStr">
        <x:v/>
        <x:is>
          <x:t xml:space="preserve">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641"/>
      <x:c r="E14" s="25"/>
      <x:c r="F14" s="25"/>
      <x:c r="G14" s="25"/>
      <x:c r="H14" s="25"/>
      <x:c r="I14" s="25"/>
      <x:c r="J14" s="25"/>
      <x:c r="K14" s="25"/>
      <x:c r="L14" s="25"/>
      <x:c r="M14" s="25"/>
      <x:c r="N14" s="25"/>
    </x:row>
    <x:row r="15" spans="1:14" ht="36" customHeight="1" thickBot="1" x14ac:dyDescent="0.35">
      <x:c r="A15" s="25"/>
      <x:c r="B15" s="562" t="s">
        <x:v>1034</x:v>
      </x:c>
      <x:c r="C15" s="25"/>
      <x:c r="D15" s="25"/>
      <x:c r="E15" s="25"/>
      <x:c r="F15" s="25"/>
      <x:c r="G15" s="25"/>
      <x:c r="H15" s="25"/>
      <x:c r="I15" s="25"/>
      <x:c r="J15" s="25"/>
      <x:c r="K15" s="25"/>
      <x:c r="L15" s="25"/>
      <x:c r="M15" s="25"/>
      <x:c r="N15" s="25"/>
    </x:row>
    <x:row r="16" spans="1:14" ht="42" customHeight="1" thickBot="1" x14ac:dyDescent="0.35">
      <x:c r="A16" s="25"/>
      <x:c r="B16" s="160" t="s">
        <x:v>1035</x:v>
      </x:c>
      <x:c r="C16" s="563" t="inlineStr">
        <x:v/>
        <x:is>
          <x:t xml:space="preserve">No</x:t>
        </x:is>
      </x:c>
      <x:c r="D16" s="564" t="str">
        <x:f>IF(C16="Yes","ERROR- Site too complex for metric - USE MAIN METRIC ▲","")</x:f>
        <x:v/>
      </x:c>
      <x:c r="E16" s="25"/>
      <x:c r="F16" s="25"/>
      <x:c r="G16" s="25"/>
      <x:c r="H16" s="25"/>
      <x:c r="I16" s="25"/>
      <x:c r="J16" s="25"/>
      <x:c r="K16" s="25"/>
      <x:c r="L16" s="25"/>
      <x:c r="M16" s="25"/>
      <x:c r="N16" s="25"/>
    </x:row>
    <x:row r="17" spans="1:14" ht="42" hidden="1" customHeight="1" x14ac:dyDescent="0.3">
      <x:c r="A17" s="25"/>
      <x:c r="B17" s="25"/>
      <x:c r="C17" s="25"/>
      <x:c r="D17" s="25"/>
      <x:c r="E17" s="25"/>
      <x:c r="F17" s="25"/>
      <x:c r="G17" s="25"/>
      <x:c r="H17" s="25"/>
      <x:c r="I17" s="25"/>
      <x:c r="J17" s="25"/>
      <x:c r="K17" s="25"/>
      <x:c r="L17" s="25"/>
      <x:c r="M17" s="25"/>
      <x:c r="N17" s="25"/>
    </x:row>
    <x:row r="18" spans="1:14" ht="42" customHeight="1" thickBot="1" x14ac:dyDescent="0.35">
      <x:c r="A18" s="25"/>
      <x:c r="B18" s="56" t="s">
        <x:v>44</x:v>
      </x:c>
      <x:c r="C18" s="25"/>
      <x:c r="D18" s="25"/>
      <x:c r="E18" s="25"/>
      <x:c r="F18" s="25"/>
      <x:c r="G18" s="25"/>
      <x:c r="H18" s="25"/>
      <x:c r="I18" s="25"/>
      <x:c r="J18" s="25"/>
      <x:c r="K18" s="25"/>
      <x:c r="L18" s="25"/>
      <x:c r="M18" s="25"/>
      <x:c r="N18" s="25"/>
    </x:row>
    <x:row r="19" spans="1:14" ht="36" customHeight="1" x14ac:dyDescent="0.3">
      <x:c r="A19" s="25"/>
      <x:c r="B19" s="37" t="s">
        <x:v>1036</x:v>
      </x:c>
      <x:c r="C19" s="150" t="inlineStr">
        <x:v/>
        <x:is>
          <x:t xml:space="preserve">Walkover completed by competent person</x:t>
        </x:is>
      </x:c>
      <x:c r="D19" s="45" t="str">
        <x:f>IF(C19="Walkover completed by competent person","A competent person should be able to confidently identify the habitats onsite",IF(C19="No Walkover Undertaken","ERROR- Site walkover required",""))</x:f>
        <x:v/>
      </x:c>
      <x:c r="E19" s="25"/>
      <x:c r="F19" s="25"/>
      <x:c r="G19" s="25"/>
      <x:c r="H19" s="25"/>
      <x:c r="I19" s="25"/>
      <x:c r="J19" s="25"/>
      <x:c r="K19" s="25"/>
      <x:c r="L19" s="25"/>
      <x:c r="M19" s="25"/>
      <x:c r="N19" s="25"/>
    </x:row>
    <x:row r="20" spans="1:14" ht="79.2" customHeight="1" x14ac:dyDescent="0.3">
      <x:c r="A20" s="25"/>
      <x:c r="B20" s="42" t="s">
        <x:v>1037</x:v>
      </x:c>
      <x:c r="C20" s="161" t="inlineStr">
        <x:v/>
        <x:is>
          <x:t xml:space="preserve">04/08/2024</x:t>
        </x:is>
      </x:c>
      <x:c r="D20" s="162" t="str">
        <x:f>IF(C20="","Walkover date required ▲","Site walkover data valid until "&amp;TEXT(EDATE(C20,6),"dd/mm/yy"))</x:f>
        <x:v>Walkover date required ▲</x:v>
      </x:c>
      <x:c r="E20" s="25"/>
      <x:c r="F20" s="25"/>
      <x:c r="G20" s="25"/>
      <x:c r="H20" s="25"/>
      <x:c r="I20" s="25"/>
      <x:c r="J20" s="25"/>
      <x:c r="K20" s="25"/>
      <x:c r="L20" s="25"/>
      <x:c r="M20" s="25"/>
      <x:c r="N20" s="25"/>
    </x:row>
    <x:row r="21" spans="1:14" ht="39.450000000000003" customHeight="1" thickBot="1" x14ac:dyDescent="0.35">
      <x:c r="A21" s="25"/>
      <x:c r="B21" s="36" t="s">
        <x:v>1038</x:v>
      </x:c>
      <x:c r="C21" s="560" t="inlineStr">
        <x:v/>
        <x:is>
          <x:t xml:space="preserve">Daniel White (Director)</x:t>
        </x:is>
      </x:c>
      <x:c r="D21" s="561"/>
      <x:c r="E21" s="25"/>
      <x:c r="F21" s="25"/>
      <x:c r="G21" s="25"/>
      <x:c r="H21" s="25"/>
      <x:c r="I21" s="25"/>
      <x:c r="J21" s="25"/>
      <x:c r="K21" s="25"/>
      <x:c r="L21" s="25"/>
      <x:c r="M21" s="25"/>
      <x:c r="N21" s="25"/>
    </x:row>
    <x:row r="22" spans="1:14" ht="26.55" customHeight="1" thickBot="1" x14ac:dyDescent="0.35">
      <x:c r="A22" s="25"/>
      <x:c r="B22" s="56" t="s">
        <x:v>45</x:v>
      </x:c>
      <x:c r="C22" s="25"/>
      <x:c r="D22" s="25"/>
      <x:c r="E22" s="25"/>
      <x:c r="F22" s="25"/>
      <x:c r="G22" s="25"/>
      <x:c r="H22" s="25"/>
      <x:c r="I22" s="25"/>
      <x:c r="J22" s="25"/>
      <x:c r="K22" s="25"/>
      <x:c r="L22" s="25"/>
      <x:c r="M22" s="25"/>
      <x:c r="N22" s="25"/>
    </x:row>
    <x:row r="23" spans="1:14" ht="56.55" customHeight="1" thickBot="1" x14ac:dyDescent="0.35">
      <x:c r="A23" s="25"/>
      <x:c r="B23" s="160" t="s">
        <x:v>1039</x:v>
      </x:c>
      <x:c r="C23" s="558"/>
      <x:c r="D23" s="559"/>
      <x:c r="E23" s="25"/>
      <x:c r="F23" s="25"/>
      <x:c r="G23" s="25"/>
      <x:c r="H23" s="25"/>
      <x:c r="I23" s="25"/>
      <x:c r="J23" s="25"/>
      <x:c r="K23" s="25"/>
      <x:c r="L23" s="25"/>
      <x:c r="M23" s="25"/>
      <x:c r="N23" s="25"/>
    </x:row>
    <x:row r="24" spans="1:14" ht="14.55" customHeight="1" x14ac:dyDescent="0.3">
      <x:c r="A24" s="25"/>
      <x:c r="B24" s="25"/>
      <x:c r="C24" s="25"/>
      <x:c r="D24" s="25"/>
      <x:c r="E24" s="25"/>
      <x:c r="F24" s="25"/>
      <x:c r="G24" s="25"/>
      <x:c r="H24" s="25"/>
      <x:c r="I24" s="25"/>
      <x:c r="J24" s="25"/>
      <x:c r="K24" s="25"/>
      <x:c r="L24" s="25"/>
      <x:c r="M24" s="25"/>
      <x:c r="N24" s="25"/>
    </x:row>
    <x:row r="25" spans="1:14" ht="14.55" customHeight="1" x14ac:dyDescent="0.3">
      <x:c r="A25" s="25"/>
      <x:c r="B25" s="25"/>
      <x:c r="C25" s="25"/>
      <x:c r="D25" s="25"/>
      <x:c r="E25" s="25"/>
      <x:c r="F25" s="25"/>
      <x:c r="G25" s="25"/>
      <x:c r="H25" s="25"/>
      <x:c r="I25" s="25"/>
      <x:c r="J25" s="25"/>
      <x:c r="K25" s="25"/>
      <x:c r="L25" s="25"/>
      <x:c r="M25" s="25"/>
      <x:c r="N25" s="25"/>
    </x:row>
    <x:row r="26" spans="1:14" ht="15" hidden="1" customHeight="1" x14ac:dyDescent="0.3">
      <x:c r="A26" s="25"/>
      <x:c r="B26" s="25"/>
      <x:c r="C26" s="25"/>
      <x:c r="D26" s="25"/>
      <x:c r="E26" s="25"/>
      <x:c r="F26" s="25"/>
      <x:c r="G26" s="25"/>
      <x:c r="H26" s="25"/>
      <x:c r="I26" s="25"/>
      <x:c r="J26" s="25"/>
      <x:c r="K26" s="25"/>
      <x:c r="L26" s="25"/>
      <x:c r="M26" s="25"/>
      <x:c r="N26" s="25"/>
    </x:row>
    <x:row r="27" spans="1:14" ht="15" hidden="1" customHeight="1" x14ac:dyDescent="0.3">
      <x:c r="A27" s="25"/>
      <x:c r="B27" s="25"/>
      <x:c r="C27" s="25"/>
      <x:c r="D27" s="25"/>
      <x:c r="E27" s="25"/>
      <x:c r="F27" s="25"/>
      <x:c r="G27" s="25"/>
      <x:c r="H27" s="25"/>
      <x:c r="I27" s="25"/>
      <x:c r="J27" s="25"/>
      <x:c r="K27" s="25"/>
      <x:c r="L27" s="25"/>
      <x:c r="M27" s="25"/>
      <x:c r="N27" s="25"/>
    </x:row>
    <x:row r="28" spans="1:14" hidden="1" x14ac:dyDescent="0.3">
      <x:c r="A28" s="25"/>
      <x:c r="B28" s="25"/>
      <x:c r="C28" s="25"/>
      <x:c r="D28" s="25"/>
      <x:c r="E28" s="25"/>
      <x:c r="F28" s="25"/>
      <x:c r="G28" s="25"/>
      <x:c r="H28" s="25"/>
      <x:c r="I28" s="25"/>
      <x:c r="J28" s="25"/>
      <x:c r="K28" s="25"/>
      <x:c r="L28" s="25"/>
      <x:c r="M28" s="25"/>
      <x:c r="N28" s="25"/>
    </x:row>
    <x:row r="29" spans="1:14" hidden="1" x14ac:dyDescent="0.3">
      <x:c r="A29" s="25"/>
      <x:c r="B29" s="25"/>
      <x:c r="C29" s="25"/>
      <x:c r="D29" s="25"/>
      <x:c r="E29" s="25"/>
      <x:c r="F29" s="25"/>
      <x:c r="G29" s="25"/>
      <x:c r="H29" s="25"/>
      <x:c r="I29" s="25"/>
      <x:c r="J29" s="25"/>
      <x:c r="K29" s="25"/>
      <x:c r="L29" s="25"/>
      <x:c r="M29" s="25"/>
      <x:c r="N29" s="25"/>
    </x:row>
    <x:row r="30" spans="1:14" hidden="1" x14ac:dyDescent="0.3">
      <x:c r="A30" s="25"/>
      <x:c r="B30" s="25"/>
      <x:c r="C30" s="25"/>
      <x:c r="D30" s="25"/>
      <x:c r="E30" s="25"/>
      <x:c r="F30" s="25"/>
      <x:c r="G30" s="25"/>
      <x:c r="H30" s="25"/>
      <x:c r="I30" s="25"/>
      <x:c r="J30" s="25"/>
      <x:c r="K30" s="25"/>
      <x:c r="L30" s="25"/>
      <x:c r="M30" s="25"/>
      <x:c r="N30" s="25"/>
    </x:row>
    <x:row r="31" spans="1:14" hidden="1" x14ac:dyDescent="0.3">
      <x:c r="A31" s="25"/>
      <x:c r="B31" s="25"/>
      <x:c r="C31" s="25"/>
      <x:c r="D31" s="25"/>
      <x:c r="E31" s="25"/>
      <x:c r="F31" s="25"/>
      <x:c r="G31" s="25"/>
      <x:c r="H31" s="25"/>
    </x:row>
    <x:row r="32" spans="1:14" hidden="1" x14ac:dyDescent="0.3">
      <x:c r="A32" s="25"/>
      <x:c r="B32" s="25"/>
      <x:c r="C32" s="25"/>
      <x:c r="D32" s="25"/>
      <x:c r="E32" s="25"/>
      <x:c r="F32" s="25"/>
      <x:c r="G32" s="25"/>
      <x:c r="H32" s="25"/>
    </x:row>
    <x:row r="33" spans="1:8" hidden="1" x14ac:dyDescent="0.3">
      <x:c r="A33" s="25"/>
      <x:c r="B33" s="25"/>
      <x:c r="C33" s="25"/>
      <x:c r="D33" s="25"/>
      <x:c r="E33" s="25"/>
      <x:c r="F33" s="25"/>
      <x:c r="G33" s="25"/>
      <x:c r="H33" s="25"/>
    </x:row>
    <x:row r="34" spans="1:8" hidden="1" x14ac:dyDescent="0.3">
      <x:c r="A34" s="25"/>
      <x:c r="B34" s="25"/>
      <x:c r="C34" s="25"/>
      <x:c r="D34" s="25"/>
      <x:c r="E34" s="25"/>
      <x:c r="F34" s="25"/>
      <x:c r="G34" s="25"/>
      <x:c r="H34" s="25"/>
    </x:row>
    <x:row r="35" spans="1:8" hidden="1" x14ac:dyDescent="0.3">
      <x:c r="A35" s="25"/>
      <x:c r="B35" s="25"/>
      <x:c r="C35" s="25"/>
      <x:c r="D35" s="25"/>
      <x:c r="E35" s="25"/>
      <x:c r="F35" s="25"/>
      <x:c r="G35" s="25"/>
      <x:c r="H35" s="25"/>
    </x:row>
    <x:row r="36" spans="1:8" hidden="1" x14ac:dyDescent="0.3">
      <x:c r="A36" s="25"/>
      <x:c r="B36" s="25"/>
      <x:c r="C36" s="25"/>
      <x:c r="D36" s="25"/>
      <x:c r="E36" s="25"/>
      <x:c r="F36" s="25"/>
      <x:c r="G36" s="25"/>
      <x:c r="H36" s="25"/>
    </x:row>
    <x:row r="37" spans="1:8" hidden="1" x14ac:dyDescent="0.3">
      <x:c r="A37" s="25"/>
      <x:c r="B37" s="25"/>
      <x:c r="C37" s="25"/>
      <x:c r="D37" s="25"/>
      <x:c r="E37" s="25"/>
      <x:c r="F37" s="25"/>
      <x:c r="G37" s="25"/>
      <x:c r="H37" s="25"/>
    </x:row>
    <x:row r="38" spans="1:8" hidden="1" x14ac:dyDescent="0.3">
      <x:c r="A38" s="25"/>
      <x:c r="B38" s="25"/>
      <x:c r="C38" s="25"/>
      <x:c r="D38" s="25"/>
      <x:c r="E38" s="25"/>
      <x:c r="F38" s="25"/>
      <x:c r="G38" s="25"/>
      <x:c r="H38" s="25"/>
    </x:row>
    <x:row r="39" spans="1:8" hidden="1" x14ac:dyDescent="0.3">
      <x:c r="A39" s="25"/>
      <x:c r="B39" s="25"/>
      <x:c r="C39" s="25"/>
      <x:c r="D39" s="25"/>
      <x:c r="E39" s="25"/>
      <x:c r="F39" s="25"/>
      <x:c r="G39" s="25"/>
      <x:c r="H39" s="25"/>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scenarios="1"/>
  <x:mergeCells count="5">
    <x:mergeCell ref="E6:H6"/>
    <x:mergeCell ref="C3:D3"/>
    <x:mergeCell ref="C2:D2"/>
    <x:mergeCell ref="C13:D13"/>
    <x:mergeCell ref="C14:D14"/>
  </x:mergeCells>
  <x:conditionalFormatting sqref="C11">
    <x:cfRule type="expression" dxfId="411" priority="59">
      <x:formula>C11="Within 500m of site boundary"</x:formula>
    </x:cfRule>
    <x:cfRule type="expression" dxfId="410" priority="68">
      <x:formula>C11="On site"</x:formula>
    </x:cfRule>
    <x:cfRule type="expression" dxfId="409" priority="69">
      <x:formula>C11="No"</x:formula>
    </x:cfRule>
  </x:conditionalFormatting>
  <x:conditionalFormatting sqref="D11:D12">
    <x:cfRule type="expression" dxfId="408" priority="57">
      <x:formula>C11="On site"</x:formula>
    </x:cfRule>
  </x:conditionalFormatting>
  <x:conditionalFormatting sqref="C19:C20">
    <x:cfRule type="expression" dxfId="407" priority="46">
      <x:formula>C19="Walkover completed by competent person"</x:formula>
    </x:cfRule>
    <x:cfRule type="expression" dxfId="406" priority="47">
      <x:formula>C19="No walkover undertaken"</x:formula>
    </x:cfRule>
    <x:cfRule type="expression" dxfId="405" priority="48">
      <x:formula>C19="Walkover completed by qualified ecologist"</x:formula>
    </x:cfRule>
  </x:conditionalFormatting>
  <x:conditionalFormatting sqref="C12">
    <x:cfRule type="expression" dxfId="404" priority="37">
      <x:formula>C12="Within 500m of site boundary"</x:formula>
    </x:cfRule>
    <x:cfRule type="expression" dxfId="403" priority="38">
      <x:formula>C12="On site"</x:formula>
    </x:cfRule>
    <x:cfRule type="expression" dxfId="402" priority="39">
      <x:formula>C12="No"</x:formula>
    </x:cfRule>
  </x:conditionalFormatting>
  <x:conditionalFormatting sqref="D20">
    <x:cfRule type="containsText" dxfId="401" priority="33" operator="containsText" text="Walkover date required">
      <x:formula>NOT(ISERROR(SEARCH("Walkover date required",D20)))</x:formula>
    </x:cfRule>
  </x:conditionalFormatting>
  <x:conditionalFormatting sqref="C8">
    <x:cfRule type="expression" dxfId="400" priority="19" stopIfTrue="1">
      <x:formula>IF(LEFT(D8,1)="E","TRUE","")</x:formula>
    </x:cfRule>
    <x:cfRule type="expression" dxfId="399" priority="20">
      <x:formula>AND(C8&gt;0,C8&lt;=C7,C8&lt;1001)</x:formula>
    </x:cfRule>
  </x:conditionalFormatting>
  <x:conditionalFormatting sqref="C6">
    <x:cfRule type="expression" dxfId="398" priority="18">
      <x:formula>IF(C6&lt;&gt;"",TRUE,"")</x:formula>
    </x:cfRule>
  </x:conditionalFormatting>
  <x:conditionalFormatting sqref="D7">
    <x:cfRule type="expression" dxfId="397" priority="17">
      <x:formula>IF(LEFT(D7,1)="E","TRUE","")</x:formula>
    </x:cfRule>
  </x:conditionalFormatting>
  <x:conditionalFormatting sqref="D8">
    <x:cfRule type="containsText" dxfId="396" priority="16" operator="containsText" text="ERROR">
      <x:formula>NOT(ISERROR(SEARCH("ERROR",D8)))</x:formula>
    </x:cfRule>
  </x:conditionalFormatting>
  <x:conditionalFormatting sqref="C7">
    <x:cfRule type="expression" dxfId="395" priority="21">
      <x:formula>IF(AND(LEFT(D7,1)="E",C7&lt;&gt;""),TRUE,"")</x:formula>
    </x:cfRule>
    <x:cfRule type="expression" dxfId="394" priority="22" stopIfTrue="1">
      <x:formula>IF(AND(LEFT(D7,1)&lt;&gt;"E",C7&lt;&gt;""),TRUE,"")</x:formula>
    </x:cfRule>
  </x:conditionalFormatting>
  <x:conditionalFormatting sqref="C9">
    <x:cfRule type="containsText" dxfId="393" priority="8" operator="containsText" text="Unknown">
      <x:formula>NOT(ISERROR(SEARCH("Unknown",C9)))</x:formula>
    </x:cfRule>
    <x:cfRule type="expression" dxfId="392" priority="14" stopIfTrue="1">
      <x:formula>IF(LEFT(D9,1)="E","TRUE","")</x:formula>
    </x:cfRule>
    <x:cfRule type="expression" dxfId="391" priority="15">
      <x:formula>AND(C9&gt;0,LEFT(D10,1)&lt;&gt;"E")</x:formula>
    </x:cfRule>
  </x:conditionalFormatting>
  <x:conditionalFormatting sqref="D9">
    <x:cfRule type="containsText" dxfId="390" priority="13" operator="containsText" text="ERROR">
      <x:formula>NOT(ISERROR(SEARCH("ERROR",D9)))</x:formula>
    </x:cfRule>
  </x:conditionalFormatting>
  <x:conditionalFormatting sqref="D11">
    <x:cfRule type="containsText" dxfId="389" priority="10" operator="containsText" text="Consider">
      <x:formula>NOT(ISERROR(SEARCH("Consider",D11)))</x:formula>
    </x:cfRule>
  </x:conditionalFormatting>
  <x:conditionalFormatting sqref="D12">
    <x:cfRule type="containsText" dxfId="388" priority="9" operator="containsText" text="Consider">
      <x:formula>NOT(ISERROR(SEARCH("Consider",D12)))</x:formula>
    </x:cfRule>
  </x:conditionalFormatting>
  <x:conditionalFormatting sqref="E6:H6">
    <x:cfRule type="notContainsBlanks" dxfId="387" priority="7">
      <x:formula>LEN(TRIM(E6))&gt;0</x:formula>
    </x:cfRule>
  </x:conditionalFormatting>
  <x:conditionalFormatting sqref="D19">
    <x:cfRule type="expression" dxfId="386" priority="212">
      <x:formula>$C$19="Walkover completed by competent person"</x:formula>
    </x:cfRule>
    <x:cfRule type="expression" dxfId="385" priority="213">
      <x:formula>C19="No walkover undertaken"</x:formula>
    </x:cfRule>
  </x:conditionalFormatting>
  <x:conditionalFormatting sqref="C16">
    <x:cfRule type="expression" dxfId="384" priority="4">
      <x:formula>C16="Within 500m of site boundary"</x:formula>
    </x:cfRule>
    <x:cfRule type="expression" dxfId="383" priority="5">
      <x:formula>C16="On site"</x:formula>
    </x:cfRule>
    <x:cfRule type="expression" dxfId="382" priority="6">
      <x:formula>C16="No"</x:formula>
    </x:cfRule>
  </x:conditionalFormatting>
  <x:conditionalFormatting sqref="D16">
    <x:cfRule type="containsText" dxfId="381" priority="1" operator="containsText" text="ERROR">
      <x:formula>NOT(ISERROR(SEARCH("ERROR",D16)))</x:formula>
    </x:cfRule>
    <x:cfRule type="expression" dxfId="380" priority="3">
      <x:formula>C16="On site"</x:formula>
    </x:cfRule>
  </x:conditionalFormatting>
  <x:conditionalFormatting sqref="D16">
    <x:cfRule type="containsText" dxfId="379" priority="2" operator="containsText" text="Consider">
      <x:formula>NOT(ISERROR(SEARCH("Consider",D16)))</x:formula>
    </x:cfRule>
  </x:conditionalFormatting>
  <x:dataValidations count="6">
    <x:dataValidation type="list" allowBlank="1" showInputMessage="1" showErrorMessage="1" sqref="C6" xr:uid="{325EC589-552A-404D-B7D4-4D8EFD896C12}">
      <x:formula1>"Residential,Commercial,Mixed,Other"</x:formula1>
    </x:dataValidation>
    <x:dataValidation type="list" allowBlank="1" showInputMessage="1" showErrorMessage="1" sqref="C11:C12" xr:uid="{2663ADE3-EBE6-42F9-9180-2A62E5086209}">
      <x:formula1>"On site,Within 500m of site boundary,No"</x:formula1>
    </x:dataValidation>
    <x:dataValidation type="list" allowBlank="1" showInputMessage="1" showErrorMessage="1" sqref="C19" xr:uid="{DC1BD428-7F08-4C83-97A0-4177B01BB499}">
      <x:formula1>"Walkover completed by qualified ecologist,Walkover completed by competent person,No walkover undertaken"</x:formula1>
    </x:dataValidation>
    <x:dataValidation type="date" operator="lessThanOrEqual" allowBlank="1" showInputMessage="1" showErrorMessage="1" errorTitle="Error" error="Future dates not permited" sqref="C20" xr:uid="{A884B896-36E1-41D9-989A-9DF75FF39B69}">
      <x:formula1>TODAY()</x:formula1>
    </x:dataValidation>
    <x:dataValidation type="list" allowBlank="1" showInputMessage="1" showErrorMessage="1" sqref="C9" xr:uid="{D53D0D02-EC8D-496C-A2A5-CF2104E92ED9}">
      <x:formula1>"Unknown number, Between 1 - 9 dwellings, Over 9 dwellings"</x:formula1>
    </x:dataValidation>
    <x:dataValidation type="list" allowBlank="1" showInputMessage="1" showErrorMessage="1" sqref="C16" xr:uid="{51B72C39-DD2C-4C1F-9827-EF6305F00C5E}">
      <x:formula1>"Yes, No"</x:formula1>
    </x:dataValidation>
  </x:dataValidations>
  <x:pageMargins left="0.7" right="0.7" top="0.75" bottom="0.75" header="0.3" footer="0.3"/>
  <x:pageSetup paperSize="9" scale="54" orientation="portrait" horizontalDpi="1200" verticalDpi="1200" r:id="rId1"/>
</x: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77734375" defaultRowHeight="14.4" zeroHeight="1" x14ac:dyDescent="0.3"/>
  <cols>
    <col min="1" max="1" width="3.44140625" customWidth="1"/>
    <col min="2" max="2" width="16.44140625" bestFit="1" customWidth="1"/>
    <col min="3" max="3" width="32.2187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x14ac:dyDescent="0.3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5">
      <c r="A2" s="25"/>
      <c r="B2" s="646" t="s">
        <v>35</v>
      </c>
      <c r="C2" s="647"/>
      <c r="D2" s="261" t="str">
        <f>IF('2. Site Details'!D4="","Enter site name on 2. Site Details",'2. Site Details'!D4)</f>
        <v>Enter site name on 2. Site Details</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4">
      <c r="A3" s="25"/>
      <c r="B3" s="644" t="s">
        <v>13</v>
      </c>
      <c r="C3" s="645"/>
      <c r="D3" s="262" t="s">
        <v>46</v>
      </c>
      <c r="E3" s="64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3">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x14ac:dyDescent="0.4">
      <c r="A5" s="25"/>
      <c r="B5" s="57" t="s">
        <v>47</v>
      </c>
      <c r="C5" s="59"/>
      <c r="D5" s="648" t="s">
        <v>48</v>
      </c>
      <c r="E5" s="64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x14ac:dyDescent="0.3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5">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3">
      <c r="A8" s="25"/>
      <c r="B8" s="642">
        <v>1</v>
      </c>
      <c r="C8" s="168" t="s">
        <v>53</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5">
      <c r="A9" s="25"/>
      <c r="B9" s="643"/>
      <c r="C9" s="186" t="str">
        <f>IF('5. Area Habitats'!D11=0,"",'5. Area Habitats'!D11)</f>
        <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3">
      <c r="A10" s="25"/>
      <c r="B10" s="642">
        <v>2</v>
      </c>
      <c r="C10" s="168" t="s">
        <v>53</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5">
      <c r="A11" s="25"/>
      <c r="B11" s="643"/>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3">
      <c r="A12" s="25"/>
      <c r="B12" s="642">
        <v>3</v>
      </c>
      <c r="C12" s="168" t="s">
        <v>53</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5">
      <c r="A13" s="25"/>
      <c r="B13" s="643"/>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3">
      <c r="A14" s="25"/>
      <c r="B14" s="650">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5">
      <c r="A15" s="25"/>
      <c r="B15" s="651"/>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3">
      <c r="A16" s="25"/>
      <c r="B16" s="642">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5">
      <c r="A17" s="25"/>
      <c r="B17" s="643"/>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3">
      <c r="A18" s="25"/>
      <c r="B18" s="642">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5">
      <c r="A19" s="25"/>
      <c r="B19" s="643"/>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3">
      <c r="A20" s="25"/>
      <c r="B20" s="642">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5">
      <c r="A21" s="25"/>
      <c r="B21" s="643"/>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3">
      <c r="A22" s="25"/>
      <c r="B22" s="642">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5">
      <c r="A23" s="25"/>
      <c r="B23" s="643"/>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3">
      <c r="A24" s="25"/>
      <c r="B24" s="642">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5">
      <c r="A25" s="25"/>
      <c r="B25" s="643"/>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3">
      <c r="A26" s="25"/>
      <c r="B26" s="642">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5">
      <c r="A27" s="25"/>
      <c r="B27" s="643"/>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3">
      <c r="A28" s="25"/>
      <c r="B28" s="642">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5">
      <c r="A29" s="25"/>
      <c r="B29" s="643"/>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3">
      <c r="A30" s="25"/>
      <c r="B30" s="642">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5">
      <c r="A31" s="25"/>
      <c r="B31" s="643"/>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3">
      <c r="A32" s="25"/>
      <c r="B32" s="642">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5">
      <c r="A33" s="25"/>
      <c r="B33" s="643"/>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3">
      <c r="A34" s="25"/>
      <c r="B34" s="642">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5">
      <c r="A35" s="25"/>
      <c r="B35" s="643"/>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3">
      <c r="A36" s="25"/>
      <c r="B36" s="642">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5">
      <c r="A37" s="25"/>
      <c r="B37" s="643"/>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3">
      <c r="A38" s="25"/>
      <c r="B38" s="642">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5">
      <c r="A39" s="25"/>
      <c r="B39" s="643"/>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3">
      <c r="A40" s="25"/>
      <c r="B40" s="642">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5">
      <c r="A41" s="25"/>
      <c r="B41" s="643"/>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3">
      <c r="A42" s="25"/>
      <c r="B42" s="642">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5">
      <c r="A43" s="25"/>
      <c r="B43" s="643"/>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3">
      <c r="A44" s="25"/>
      <c r="B44" s="642">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5">
      <c r="A45" s="25"/>
      <c r="B45" s="643"/>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3">
      <c r="A46" s="25"/>
      <c r="B46" s="642">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5">
      <c r="A47" s="25"/>
      <c r="B47" s="643"/>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3">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3">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3">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3">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3">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3">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3">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3">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3">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3">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3">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3">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3">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3">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3">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3">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3">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3">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3">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3">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3">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3">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3">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3">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3">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3">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3">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3">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3">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3">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3">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3">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3">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3">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3">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3">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3">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3">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3">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3">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3">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3">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3">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3">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3">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3">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3">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3">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3">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3">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3">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3">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3">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3">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3">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3">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3">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3">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3">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3">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3">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3">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3">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3">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3">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3">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3">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3">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3">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3">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3">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3">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3">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3">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3">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3">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3">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3">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3">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3">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3">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3">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3">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3">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3">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3">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3">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3">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3">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3">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3">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3">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3">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3">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3">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3">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3">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3">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3">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3">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3">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3">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3">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3">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3">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3">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3">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3">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3">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3">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3">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pageSetUpPr fitToPage="1"/>
  </x:sheetPr>
  <x:dimension ref="A1:XEY169"/>
  <x:sheetViews>
    <x:sheetView zoomScale="80" zoomScaleNormal="80" workbookViewId="0"/>
  </x:sheetViews>
  <x:sheetFormatPr defaultColWidth="8.77734375" defaultRowHeight="14.4" zeroHeight="1" x14ac:dyDescent="0.3"/>
  <x:cols>
    <x:col min="1" max="1" width="4.5546875" customWidth="1"/>
    <x:col min="2" max="2" width="14.77734375" customWidth="1"/>
    <x:col min="3" max="3" width="26.44140625" bestFit="1" customWidth="1"/>
    <x:col min="4" max="4" width="62.77734375" customWidth="1"/>
    <x:col min="5" max="5" width="22" customWidth="1"/>
    <x:col min="6" max="6" width="18.5546875" customWidth="1"/>
    <x:col min="7" max="7" width="39.77734375" customWidth="1"/>
    <x:col min="8" max="8" width="62.44140625" customWidth="1"/>
    <x:col min="9" max="9" width="14.5546875" customWidth="1"/>
    <x:col min="10" max="10" width="12.77734375" customWidth="1"/>
    <x:col min="11" max="11" width="11.44140625" customWidth="1"/>
    <x:col min="12" max="12" width="17.77734375" customWidth="1"/>
    <x:col min="13" max="14" width="11.44140625" customWidth="1"/>
    <x:col min="15" max="16" width="27" customWidth="1"/>
    <x:col min="17" max="18" width="11.44140625" customWidth="1"/>
    <x:col min="19" max="19" width="2.21875" customWidth="1"/>
    <x:col min="20" max="20" width="13" customWidth="1"/>
    <x:col min="21" max="21" width="14.77734375" customWidth="1"/>
    <x:col min="22" max="22" width="20.77734375" bestFit="1" customWidth="1"/>
    <x:col min="23" max="23" width="23.77734375" customWidth="1"/>
    <x:col min="24" max="24" width="16.77734375" bestFit="1" customWidth="1"/>
    <x:col min="25" max="25" width="14" hidden="1" customWidth="1"/>
    <x:col min="26" max="26" width="21.21875" hidden="1" customWidth="1"/>
    <x:col min="27" max="27" width="14" hidden="1" customWidth="1"/>
    <x:col min="28" max="28" width="33.77734375" customWidth="1"/>
    <x:col min="29" max="29" width="26.5546875" customWidth="1"/>
    <x:col min="30" max="30" width="50" customWidth="1"/>
    <x:col min="31" max="31" width="18.77734375" customWidth="1"/>
    <x:col min="32" max="32" width="23.77734375" customWidth="1"/>
    <x:col min="33" max="33" width="16.77734375" customWidth="1"/>
    <x:col min="34" max="34" width="35.77734375" customWidth="1"/>
    <x:col min="35" max="35" width="76.21875" customWidth="1"/>
    <x:col min="36" max="36" width="22.21875" customWidth="1"/>
    <x:col min="37" max="39" width="22.21875" hidden="1" customWidth="1"/>
    <x:col min="40" max="40" width="20.44140625" customWidth="1"/>
    <x:col min="41" max="41" width="34.21875" bestFit="1" customWidth="1"/>
    <x:col min="42" max="42" width="19.77734375" bestFit="1" customWidth="1"/>
    <x:col min="43" max="43" width="16.21875" bestFit="1" customWidth="1"/>
    <x:col min="44" max="47" width="27.21875" customWidth="1"/>
    <x:col min="48" max="48" width="21.21875" bestFit="1" customWidth="1"/>
    <x:col min="49" max="49" width="23.21875" bestFit="1" customWidth="1"/>
    <x:col min="50" max="50" width="68.21875" customWidth="1"/>
    <x:col min="51" max="51" width="26.5546875" customWidth="1"/>
    <x:col min="52" max="52" width="14.21875" customWidth="1"/>
    <x:col min="53" max="53" width="26.5546875" customWidth="1"/>
    <x:col min="54" max="73" width="26.21875" customWidth="1"/>
    <x:col min="74" max="74" width="11.5546875" customWidth="1"/>
    <x:col min="75" max="77" width="8.77734375" customWidth="1"/>
    <x:col min="78" max="16379" width="8.77734375" hidden="1" customWidth="1"/>
    <x:col min="16380" max="16383" width="8.77734375" customWidth="1"/>
  </x:cols>
  <x:sheetData>
    <x:row r="1" spans="1:128" ht="15.75" customHeight="1" thickBot="1" x14ac:dyDescent="0.35">
      <x:c r="A1" s="25"/>
      <x:c r="B1" s="25"/>
      <x:c r="C1" s="25"/>
      <x:c r="D1" s="25"/>
      <x:c r="E1" s="25"/>
      <x:c r="F1" s="25"/>
      <x:c r="G1" s="25"/>
      <x:c r="H1" s="25"/>
      <x:c r="I1" s="52"/>
      <x:c r="J1" s="52"/>
      <x:c r="K1" s="52"/>
      <x:c r="L1" s="52"/>
      <x:c r="M1" s="52"/>
      <x:c r="N1" s="52"/>
      <x:c r="O1" s="154" t="s">
        <x:v>54</x:v>
      </x:c>
      <x:c r="P1" s="277">
        <x:f>IFERROR(SUM(AE11:AE31), "Error ▲")</x:f>
        <x:v>0</x:v>
      </x:c>
      <x:c r="Q1" s="25"/>
      <x:c r="R1" s="652" t="s">
        <x:v>55</x:v>
      </x:c>
      <x:c r="S1" s="25"/>
      <x:c r="T1" s="26"/>
      <x:c r="U1" s="25"/>
      <x:c r="V1" s="25"/>
      <x:c r="W1" s="25"/>
      <x:c r="X1" s="25"/>
      <x:c r="Y1" s="25"/>
      <x:c r="Z1" s="25"/>
      <x:c r="AA1" s="25"/>
      <x:c r="AB1" s="25"/>
      <x:c r="AC1" s="25"/>
      <x:c r="AD1" s="25"/>
      <x:c r="AE1" s="25"/>
      <x:c r="AF1" s="25"/>
      <x:c r="AG1" s="25"/>
      <x:c r="AH1" s="25"/>
      <x:c r="AI1" s="25"/>
      <x:c r="AJ1" s="25"/>
      <x:c r="AK1" s="25"/>
      <x:c r="AL1" s="25"/>
      <x:c r="AM1" s="25"/>
      <x:c r="AN1" s="25"/>
      <x:c r="AO1" s="25"/>
      <x:c r="AP1" s="25"/>
      <x:c r="AQ1" s="25"/>
      <x:c r="AR1" s="25"/>
      <x:c r="AS1" s="25"/>
      <x:c r="AT1" s="25"/>
      <x:c r="AU1" s="25"/>
      <x:c r="AV1" s="25"/>
      <x:c r="AW1" s="25"/>
      <x:c r="AX1" s="25"/>
      <x:c r="AY1" s="25"/>
      <x:c r="AZ1" s="25"/>
      <x:c r="BA1" s="25"/>
      <x:c r="BB1" s="25"/>
      <x:c r="BC1" s="25"/>
      <x:c r="BD1" s="25"/>
      <x:c r="BE1" s="25"/>
      <x:c r="BF1" s="25"/>
      <x:c r="BG1" s="25"/>
      <x:c r="BH1" s="25"/>
      <x:c r="BI1" s="25"/>
      <x:c r="BJ1" s="25"/>
      <x:c r="BK1" s="25"/>
      <x:c r="BL1" s="25"/>
      <x:c r="BM1" s="25"/>
      <x:c r="BN1" s="25"/>
      <x:c r="BO1" s="25"/>
      <x:c r="BP1" s="25"/>
      <x:c r="BQ1" s="25"/>
      <x:c r="BR1" s="25"/>
      <x:c r="BS1" s="25"/>
      <x:c r="BT1" s="25"/>
      <x:c r="BU1" s="25"/>
      <x:c r="BV1" s="25"/>
      <x:c r="BW1" s="25"/>
      <x:c r="BX1" s="25"/>
      <x:c r="BY1" s="25"/>
      <x:c r="BZ1" s="25"/>
      <x:c r="CA1" s="25"/>
      <x:c r="CB1" s="25"/>
      <x:c r="CC1" s="25"/>
      <x:c r="CD1" s="25"/>
      <x:c r="CE1" s="25"/>
      <x:c r="CF1" s="25"/>
      <x:c r="CG1" s="25"/>
      <x:c r="CH1" s="25"/>
      <x:c r="CI1" s="25"/>
      <x:c r="CJ1" s="25"/>
      <x:c r="CK1" s="25"/>
      <x:c r="CL1" s="25"/>
      <x:c r="CM1" s="25"/>
      <x:c r="CN1" s="25"/>
      <x:c r="CO1" s="25"/>
      <x:c r="CP1" s="25"/>
      <x:c r="CQ1" s="25"/>
      <x:c r="CR1" s="25"/>
      <x:c r="CS1" s="25"/>
      <x:c r="CT1" s="25"/>
      <x:c r="CU1" s="25"/>
      <x:c r="CV1" s="25"/>
      <x:c r="CW1" s="25"/>
      <x:c r="CX1" s="25"/>
      <x:c r="CY1" s="25"/>
      <x:c r="CZ1" s="25"/>
      <x:c r="DA1" s="25"/>
      <x:c r="DB1" s="25"/>
      <x:c r="DC1" s="25"/>
      <x:c r="DD1" s="25"/>
      <x:c r="DE1" s="25"/>
      <x:c r="DF1" s="25"/>
      <x:c r="DG1" s="25"/>
      <x:c r="DH1" s="25"/>
      <x:c r="DI1" s="25"/>
      <x:c r="DJ1" s="25"/>
      <x:c r="DK1" s="25"/>
      <x:c r="DL1" s="25"/>
      <x:c r="DM1" s="25"/>
      <x:c r="DN1" s="25"/>
      <x:c r="DO1" s="25"/>
      <x:c r="DP1" s="25"/>
      <x:c r="DQ1" s="25"/>
      <x:c r="DR1" s="25"/>
      <x:c r="DS1" s="25"/>
      <x:c r="DT1" s="25"/>
      <x:c r="DU1" s="25"/>
      <x:c r="DV1" s="25"/>
      <x:c r="DW1" s="25"/>
      <x:c r="DX1" s="25"/>
    </x:row>
    <x:row r="2" spans="1:128" ht="19.95" customHeight="1" x14ac:dyDescent="0.35">
      <x:c r="A2" s="25"/>
      <x:c r="B2" s="80" t="s">
        <x:v>56</x:v>
      </x:c>
      <x:c r="C2" s="826" t="str">
        <x:f>IF('2. Site Details'!D4="","Enter site name on 2. Site Details",'2. Site Details'!D4)</x:f>
        <x:v>Enter site name on 2. Site Details</x:v>
      </x:c>
      <x:c r="D2" s="827"/>
      <x:c r="E2" s="25"/>
      <x:c r="F2" s="771" t="s">
        <x:v>57</x:v>
      </x:c>
      <x:c r="G2" s="772"/>
      <x:c r="H2" s="773"/>
      <x:c r="I2" s="81"/>
      <x:c r="J2" s="785" t="str" cm="1">
        <x:f t="array" ref="J2">IFERROR(IF(OR((ISNUMBER(SEARCH("▲",A7:Q101)))),"Input Errors Present On Sheet - Red Cells Or ▲ Highlight Errors","All Key Rules Satisfied ✓ "),"Technical Errors On Sheet ▲")</x:f>
        <x:v xml:space="preserve">All Key Rules Satisfied ✓ </x:v>
      </x:c>
      <x:c r="K2" s="785"/>
      <x:c r="L2" s="785"/>
      <x:c r="M2" s="785"/>
      <x:c r="N2" s="81"/>
      <x:c r="O2" s="83" t="s">
        <x:v>58</x:v>
      </x:c>
      <x:c r="P2" s="277">
        <x:f>IFERROR(N32, "Error ▲")</x:f>
        <x:v>0</x:v>
      </x:c>
      <x:c r="Q2" s="25"/>
      <x:c r="R2" s="652"/>
      <x:c r="S2" s="25"/>
      <x:c r="T2" s="26"/>
      <x:c r="U2" s="25"/>
      <x:c r="V2" s="25"/>
      <x:c r="W2" s="25"/>
      <x:c r="X2" s="25"/>
      <x:c r="Y2" s="25"/>
      <x:c r="Z2" s="25"/>
      <x:c r="AA2" s="25"/>
      <x:c r="AB2" s="25"/>
      <x:c r="AC2" s="25"/>
      <x:c r="AD2" s="25"/>
      <x:c r="AE2" s="25"/>
      <x:c r="AF2" s="25"/>
      <x:c r="AG2" s="25"/>
      <x:c r="AH2" s="25"/>
      <x:c r="AI2" s="25"/>
      <x:c r="AJ2" s="25"/>
      <x:c r="AK2" s="25"/>
      <x:c r="AL2" s="25"/>
      <x:c r="AM2" s="25"/>
      <x:c r="AN2" s="25"/>
      <x:c r="AO2" s="25"/>
      <x:c r="AP2" s="25"/>
      <x:c r="AQ2" s="25"/>
      <x:c r="AR2" s="25"/>
      <x:c r="AS2" s="25"/>
      <x:c r="AT2" s="25"/>
      <x:c r="AU2" s="25"/>
      <x:c r="AV2" s="25"/>
      <x:c r="AW2" s="25"/>
      <x:c r="AX2" s="25"/>
      <x:c r="AY2" s="25"/>
      <x:c r="AZ2" s="25"/>
      <x:c r="BA2" s="25"/>
      <x:c r="BB2" s="25"/>
      <x:c r="BC2" s="25"/>
      <x:c r="BD2" s="25"/>
      <x:c r="BE2" s="25"/>
      <x:c r="BF2" s="25"/>
      <x:c r="BG2" s="25"/>
      <x:c r="BH2" s="25"/>
      <x:c r="BI2" s="25"/>
      <x:c r="BJ2" s="25"/>
      <x:c r="BK2" s="25"/>
      <x:c r="BL2" s="25"/>
      <x:c r="BM2" s="25"/>
      <x:c r="BN2" s="25"/>
      <x:c r="BO2" s="25"/>
      <x:c r="BP2" s="25"/>
      <x:c r="BQ2" s="25"/>
      <x:c r="BR2" s="25"/>
      <x:c r="BS2" s="25"/>
      <x:c r="BT2" s="25"/>
      <x:c r="BU2" s="25"/>
      <x:c r="BV2" s="25"/>
      <x:c r="BW2" s="25"/>
      <x:c r="BX2" s="25"/>
      <x:c r="BY2" s="25"/>
      <x:c r="BZ2" s="25"/>
      <x:c r="CA2" s="25"/>
      <x:c r="CB2" s="25"/>
      <x:c r="CC2" s="25"/>
      <x:c r="CD2" s="25"/>
      <x:c r="CE2" s="25"/>
      <x:c r="CF2" s="25"/>
      <x:c r="CG2" s="25"/>
      <x:c r="CH2" s="25"/>
      <x:c r="CI2" s="25"/>
      <x:c r="CJ2" s="25"/>
      <x:c r="CK2" s="25"/>
      <x:c r="CL2" s="25"/>
      <x:c r="CM2" s="25"/>
      <x:c r="CN2" s="25"/>
      <x:c r="CO2" s="25"/>
      <x:c r="CP2" s="25"/>
      <x:c r="CQ2" s="25"/>
      <x:c r="CR2" s="25"/>
      <x:c r="CS2" s="25"/>
      <x:c r="CT2" s="25"/>
      <x:c r="CU2" s="25"/>
      <x:c r="CV2" s="25"/>
      <x:c r="CW2" s="25"/>
      <x:c r="CX2" s="25"/>
      <x:c r="CY2" s="25"/>
      <x:c r="CZ2" s="25"/>
      <x:c r="DA2" s="25"/>
      <x:c r="DB2" s="25"/>
      <x:c r="DC2" s="25"/>
      <x:c r="DD2" s="25"/>
      <x:c r="DE2" s="25"/>
      <x:c r="DF2" s="25"/>
      <x:c r="DG2" s="25"/>
      <x:c r="DH2" s="25"/>
      <x:c r="DI2" s="25"/>
      <x:c r="DJ2" s="25"/>
      <x:c r="DK2" s="25"/>
      <x:c r="DL2" s="25"/>
      <x:c r="DM2" s="25"/>
      <x:c r="DN2" s="25"/>
      <x:c r="DO2" s="25"/>
      <x:c r="DP2" s="25"/>
      <x:c r="DQ2" s="25"/>
      <x:c r="DR2" s="25"/>
      <x:c r="DS2" s="25"/>
      <x:c r="DT2" s="25"/>
      <x:c r="DU2" s="25"/>
      <x:c r="DV2" s="25"/>
      <x:c r="DW2" s="25"/>
      <x:c r="DX2" s="25"/>
    </x:row>
    <x:row r="3" spans="1:128" ht="19.95" customHeight="1" thickBot="1" x14ac:dyDescent="0.4">
      <x:c r="A3" s="25"/>
      <x:c r="B3" s="82" t="s">
        <x:v>13</x:v>
      </x:c>
      <x:c r="C3" s="828" t="s">
        <x:v>59</x:v>
      </x:c>
      <x:c r="D3" s="829"/>
      <x:c r="E3" s="25"/>
      <x:c r="F3" s="774"/>
      <x:c r="G3" s="775"/>
      <x:c r="H3" s="776"/>
      <x:c r="I3" s="81"/>
      <x:c r="J3" s="785"/>
      <x:c r="K3" s="785"/>
      <x:c r="L3" s="785"/>
      <x:c r="M3" s="785"/>
      <x:c r="N3" s="81"/>
      <x:c r="O3" s="83" t="s">
        <x:v>60</x:v>
      </x:c>
      <x:c r="P3" s="277">
        <x:f>IFERROR(L61, "Error ▲")</x:f>
        <x:v>0</x:v>
      </x:c>
      <x:c r="Q3" s="25"/>
      <x:c r="R3" s="652"/>
      <x:c r="S3" s="25"/>
      <x:c r="T3" s="26"/>
      <x:c r="U3" s="25"/>
      <x:c r="V3" s="25"/>
      <x:c r="W3" s="25"/>
      <x:c r="X3" s="25"/>
      <x:c r="Y3" s="25"/>
      <x:c r="Z3" s="25"/>
      <x:c r="AA3" s="25"/>
      <x:c r="AB3" s="25"/>
      <x:c r="AC3" s="25"/>
      <x:c r="AD3" s="25"/>
      <x:c r="AE3" s="25"/>
      <x:c r="AF3" s="25"/>
      <x:c r="AG3" s="25"/>
      <x:c r="AH3" s="25"/>
      <x:c r="AI3" s="25"/>
      <x:c r="AJ3" s="25"/>
      <x:c r="AK3" s="25"/>
      <x:c r="AL3" s="25"/>
      <x:c r="AM3" s="25"/>
      <x:c r="AN3" s="25"/>
      <x:c r="AO3" s="25"/>
      <x:c r="AP3" s="25"/>
      <x:c r="AQ3" s="25"/>
      <x:c r="AR3" s="25"/>
      <x:c r="AS3" s="25"/>
      <x:c r="AT3" s="25"/>
      <x:c r="AU3" s="25"/>
      <x:c r="AV3" s="25"/>
      <x:c r="AW3" s="25"/>
      <x:c r="AX3" s="25"/>
      <x:c r="AY3" s="25"/>
      <x:c r="AZ3" s="25"/>
      <x:c r="BA3" s="25"/>
      <x:c r="BB3" s="25"/>
      <x:c r="BC3" s="25"/>
      <x:c r="BD3" s="25"/>
      <x:c r="BE3" s="25"/>
      <x:c r="BF3" s="25"/>
      <x:c r="BG3" s="25"/>
      <x:c r="BH3" s="25"/>
      <x:c r="BI3" s="25"/>
      <x:c r="BJ3" s="25"/>
      <x:c r="BK3" s="25"/>
      <x:c r="BL3" s="25"/>
      <x:c r="BM3" s="25"/>
      <x:c r="BN3" s="25"/>
      <x:c r="BO3" s="25"/>
      <x:c r="BP3" s="25"/>
      <x:c r="BQ3" s="25"/>
      <x:c r="BR3" s="25"/>
      <x:c r="BS3" s="25"/>
      <x:c r="BT3" s="25"/>
      <x:c r="BU3" s="25"/>
      <x:c r="BV3" s="25"/>
      <x:c r="BW3" s="25"/>
      <x:c r="BX3" s="25"/>
      <x:c r="BY3" s="25"/>
      <x:c r="BZ3" s="25"/>
      <x:c r="CA3" s="25"/>
      <x:c r="CB3" s="25"/>
      <x:c r="CC3" s="25"/>
      <x:c r="CD3" s="25"/>
      <x:c r="CE3" s="25"/>
      <x:c r="CF3" s="25"/>
      <x:c r="CG3" s="25"/>
      <x:c r="CH3" s="25"/>
      <x:c r="CI3" s="25"/>
      <x:c r="CJ3" s="25"/>
      <x:c r="CK3" s="25"/>
      <x:c r="CL3" s="25"/>
      <x:c r="CM3" s="25"/>
      <x:c r="CN3" s="25"/>
      <x:c r="CO3" s="25"/>
      <x:c r="CP3" s="25"/>
      <x:c r="CQ3" s="25"/>
      <x:c r="CR3" s="25"/>
      <x:c r="CS3" s="25"/>
      <x:c r="CT3" s="25"/>
      <x:c r="CU3" s="25"/>
      <x:c r="CV3" s="25"/>
      <x:c r="CW3" s="25"/>
      <x:c r="CX3" s="25"/>
      <x:c r="CY3" s="25"/>
      <x:c r="CZ3" s="25"/>
      <x:c r="DA3" s="25"/>
      <x:c r="DB3" s="25"/>
      <x:c r="DC3" s="25"/>
      <x:c r="DD3" s="25"/>
      <x:c r="DE3" s="25"/>
      <x:c r="DF3" s="25"/>
      <x:c r="DG3" s="25"/>
      <x:c r="DH3" s="25"/>
      <x:c r="DI3" s="25"/>
      <x:c r="DJ3" s="25"/>
      <x:c r="DK3" s="25"/>
      <x:c r="DL3" s="25"/>
      <x:c r="DM3" s="25"/>
      <x:c r="DN3" s="25"/>
      <x:c r="DO3" s="25"/>
      <x:c r="DP3" s="25"/>
      <x:c r="DQ3" s="25"/>
      <x:c r="DR3" s="25"/>
      <x:c r="DS3" s="25"/>
      <x:c r="DT3" s="25"/>
      <x:c r="DU3" s="25"/>
      <x:c r="DV3" s="25"/>
      <x:c r="DW3" s="25"/>
      <x:c r="DX3" s="25"/>
    </x:row>
    <x:row r="4" spans="1:128" ht="19.95" customHeight="1" x14ac:dyDescent="0.3">
      <x:c r="A4" s="25"/>
      <x:c r="B4" s="84"/>
      <x:c r="C4" s="84"/>
      <x:c r="D4" s="84"/>
      <x:c r="E4" s="25"/>
      <x:c r="F4" s="774"/>
      <x:c r="G4" s="775"/>
      <x:c r="H4" s="776"/>
      <x:c r="I4" s="81"/>
      <x:c r="J4" s="785"/>
      <x:c r="K4" s="785"/>
      <x:c r="L4" s="785"/>
      <x:c r="M4" s="785"/>
      <x:c r="N4" s="81"/>
      <x:c r="O4" s="83" t="s">
        <x:v>61</x:v>
      </x:c>
      <x:c r="P4" s="277">
        <x:f>IFERROR(L89, "Error ▲")</x:f>
        <x:v>0</x:v>
      </x:c>
      <x:c r="Q4" s="25"/>
      <x:c r="R4" s="652"/>
      <x:c r="S4" s="25"/>
      <x:c r="T4" s="26"/>
      <x:c r="U4" s="25"/>
      <x:c r="V4" s="25"/>
      <x:c r="W4" s="25"/>
      <x:c r="X4" s="25"/>
      <x:c r="Y4" s="25"/>
      <x:c r="Z4" s="25"/>
      <x:c r="AA4" s="25"/>
      <x:c r="AB4" s="25"/>
      <x:c r="AC4" s="25"/>
      <x:c r="AD4" s="25"/>
      <x:c r="AE4" s="25"/>
      <x:c r="AF4" s="25"/>
      <x:c r="AG4" s="25"/>
      <x:c r="AH4" s="25"/>
      <x:c r="AI4" s="25"/>
      <x:c r="AJ4" s="25"/>
      <x:c r="AK4" s="25"/>
      <x:c r="AL4" s="25"/>
      <x:c r="AM4" s="25"/>
      <x:c r="AN4" s="25"/>
      <x:c r="AO4" s="25"/>
      <x:c r="AP4" s="25"/>
      <x:c r="AQ4" s="25"/>
      <x:c r="AR4" s="25"/>
      <x:c r="AS4" s="25"/>
      <x:c r="AT4" s="25"/>
      <x:c r="AU4" s="25"/>
      <x:c r="AV4" s="25"/>
      <x:c r="AW4" s="25"/>
      <x:c r="AX4" s="25"/>
      <x:c r="AY4" s="25"/>
      <x:c r="AZ4" s="25"/>
      <x:c r="BA4" s="25"/>
      <x:c r="BB4" s="25"/>
      <x:c r="BC4" s="25"/>
      <x:c r="BD4" s="25"/>
      <x:c r="BE4" s="25"/>
      <x:c r="BF4" s="25"/>
      <x:c r="BG4" s="25"/>
      <x:c r="BH4" s="25"/>
      <x:c r="BI4" s="25"/>
      <x:c r="BJ4" s="25"/>
      <x:c r="BK4" s="25"/>
      <x:c r="BL4" s="25"/>
      <x:c r="BM4" s="25"/>
      <x:c r="BN4" s="25"/>
      <x:c r="BO4" s="25"/>
      <x:c r="BP4" s="25"/>
      <x:c r="BQ4" s="25"/>
      <x:c r="BR4" s="25"/>
      <x:c r="BS4" s="25"/>
      <x:c r="BT4" s="25"/>
      <x:c r="BU4" s="25"/>
      <x:c r="BV4" s="25"/>
      <x:c r="BW4" s="25"/>
      <x:c r="BX4" s="25"/>
      <x:c r="BY4" s="25"/>
      <x:c r="BZ4" s="25"/>
      <x:c r="CA4" s="25"/>
      <x:c r="CB4" s="25"/>
      <x:c r="CC4" s="25"/>
      <x:c r="CD4" s="25"/>
      <x:c r="CE4" s="25"/>
      <x:c r="CF4" s="25"/>
      <x:c r="CG4" s="25"/>
      <x:c r="CH4" s="25"/>
      <x:c r="CI4" s="25"/>
      <x:c r="CJ4" s="25"/>
      <x:c r="CK4" s="25"/>
      <x:c r="CL4" s="25"/>
      <x:c r="CM4" s="25"/>
      <x:c r="CN4" s="25"/>
      <x:c r="CO4" s="25"/>
      <x:c r="CP4" s="25"/>
      <x:c r="CQ4" s="25"/>
      <x:c r="CR4" s="25"/>
      <x:c r="CS4" s="25"/>
      <x:c r="CT4" s="25"/>
      <x:c r="CU4" s="25"/>
      <x:c r="CV4" s="25"/>
      <x:c r="CW4" s="25"/>
      <x:c r="CX4" s="25"/>
      <x:c r="CY4" s="25"/>
      <x:c r="CZ4" s="25"/>
      <x:c r="DA4" s="25"/>
      <x:c r="DB4" s="25"/>
      <x:c r="DC4" s="25"/>
      <x:c r="DD4" s="25"/>
      <x:c r="DE4" s="25"/>
      <x:c r="DF4" s="25"/>
      <x:c r="DG4" s="25"/>
      <x:c r="DH4" s="25"/>
      <x:c r="DI4" s="25"/>
      <x:c r="DJ4" s="25"/>
      <x:c r="DK4" s="25"/>
      <x:c r="DL4" s="25"/>
      <x:c r="DM4" s="25"/>
      <x:c r="DN4" s="25"/>
      <x:c r="DO4" s="25"/>
      <x:c r="DP4" s="25"/>
      <x:c r="DQ4" s="25"/>
      <x:c r="DR4" s="25"/>
      <x:c r="DS4" s="25"/>
      <x:c r="DT4" s="25"/>
      <x:c r="DU4" s="25"/>
      <x:c r="DV4" s="25"/>
      <x:c r="DW4" s="25"/>
      <x:c r="DX4" s="25"/>
    </x:row>
    <x:row r="5" spans="1:128" ht="19.95" customHeight="1" thickBot="1" x14ac:dyDescent="0.35">
      <x:c r="A5" s="85"/>
      <x:c r="B5" s="25"/>
      <x:c r="C5" s="25"/>
      <x:c r="D5" s="25"/>
      <x:c r="E5" s="25"/>
      <x:c r="F5" s="774"/>
      <x:c r="G5" s="775"/>
      <x:c r="H5" s="776"/>
      <x:c r="I5" s="81"/>
      <x:c r="J5" s="785"/>
      <x:c r="K5" s="785"/>
      <x:c r="L5" s="785"/>
      <x:c r="M5" s="785"/>
      <x:c r="N5" s="81"/>
      <x:c r="O5" s="86" t="s">
        <x:v>62</x:v>
      </x:c>
      <x:c r="P5" s="278">
        <x:f>IFERROR((P1+L61+L89)-L32, "Error ▲")</x:f>
        <x:v>0</x:v>
      </x:c>
      <x:c r="Q5" s="25"/>
      <x:c r="R5" s="652"/>
      <x:c r="S5" s="25"/>
      <x:c r="T5" s="26"/>
      <x:c r="U5" s="25"/>
      <x:c r="V5" s="25"/>
      <x:c r="W5" s="25"/>
      <x:c r="X5" s="25"/>
      <x:c r="Y5" s="25"/>
      <x:c r="Z5" s="25"/>
      <x:c r="AA5" s="25"/>
      <x:c r="AB5" s="25"/>
      <x:c r="AC5" s="25"/>
      <x:c r="AD5" s="25"/>
      <x:c r="AE5" s="25"/>
      <x:c r="AF5" s="25"/>
      <x:c r="AG5" s="25"/>
      <x:c r="AH5" s="25"/>
      <x:c r="AI5" s="25"/>
      <x:c r="AJ5" s="25"/>
      <x:c r="AK5" s="25"/>
      <x:c r="AL5" s="25"/>
      <x:c r="AM5" s="25"/>
      <x:c r="AN5" s="25"/>
      <x:c r="AO5" s="25"/>
      <x:c r="AP5" s="25"/>
      <x:c r="AQ5" s="25"/>
      <x:c r="AR5" s="25"/>
      <x:c r="AS5" s="25"/>
      <x:c r="AT5" s="25"/>
      <x:c r="AU5" s="25"/>
      <x:c r="AV5" s="25"/>
      <x:c r="AW5" s="25"/>
      <x:c r="AX5" s="25"/>
      <x:c r="AY5" s="25"/>
      <x:c r="AZ5" s="25"/>
      <x:c r="BA5" s="25"/>
      <x:c r="BB5" s="25"/>
      <x:c r="BC5" s="25"/>
      <x:c r="BD5" s="25"/>
      <x:c r="BE5" s="25"/>
      <x:c r="BF5" s="25"/>
      <x:c r="BG5" s="25"/>
      <x:c r="BH5" s="25"/>
      <x:c r="BI5" s="25"/>
      <x:c r="BJ5" s="25"/>
      <x:c r="BK5" s="25"/>
      <x:c r="BL5" s="25"/>
      <x:c r="BM5" s="25"/>
      <x:c r="BN5" s="25"/>
      <x:c r="BO5" s="25"/>
      <x:c r="BP5" s="25"/>
      <x:c r="BQ5" s="25"/>
      <x:c r="BR5" s="25"/>
      <x:c r="BS5" s="25"/>
      <x:c r="BT5" s="25"/>
      <x:c r="BU5" s="25"/>
      <x:c r="BV5" s="25"/>
      <x:c r="BW5" s="25"/>
      <x:c r="BX5" s="25"/>
      <x:c r="BY5" s="25"/>
      <x:c r="BZ5" s="25"/>
      <x:c r="CA5" s="25"/>
      <x:c r="CB5" s="25"/>
      <x:c r="CC5" s="25"/>
      <x:c r="CD5" s="25"/>
      <x:c r="CE5" s="25"/>
      <x:c r="CF5" s="25"/>
      <x:c r="CG5" s="25"/>
      <x:c r="CH5" s="25"/>
      <x:c r="CI5" s="25"/>
      <x:c r="CJ5" s="25"/>
      <x:c r="CK5" s="25"/>
      <x:c r="CL5" s="25"/>
      <x:c r="CM5" s="25"/>
      <x:c r="CN5" s="25"/>
      <x:c r="CO5" s="25"/>
      <x:c r="CP5" s="25"/>
      <x:c r="CQ5" s="25"/>
      <x:c r="CR5" s="25"/>
      <x:c r="CS5" s="25"/>
      <x:c r="CT5" s="25"/>
      <x:c r="CU5" s="25"/>
      <x:c r="CV5" s="25"/>
      <x:c r="CW5" s="25"/>
      <x:c r="CX5" s="25"/>
      <x:c r="CY5" s="25"/>
      <x:c r="CZ5" s="25"/>
      <x:c r="DA5" s="25"/>
      <x:c r="DB5" s="25"/>
      <x:c r="DC5" s="25"/>
      <x:c r="DD5" s="25"/>
      <x:c r="DE5" s="25"/>
      <x:c r="DF5" s="25"/>
      <x:c r="DG5" s="25"/>
      <x:c r="DH5" s="25"/>
      <x:c r="DI5" s="25"/>
      <x:c r="DJ5" s="25"/>
      <x:c r="DK5" s="25"/>
      <x:c r="DL5" s="25"/>
      <x:c r="DM5" s="25"/>
      <x:c r="DN5" s="25"/>
      <x:c r="DO5" s="25"/>
      <x:c r="DP5" s="25"/>
      <x:c r="DQ5" s="25"/>
      <x:c r="DR5" s="25"/>
      <x:c r="DS5" s="25"/>
      <x:c r="DT5" s="25"/>
      <x:c r="DU5" s="25"/>
      <x:c r="DV5" s="25"/>
      <x:c r="DW5" s="25"/>
      <x:c r="DX5" s="25"/>
    </x:row>
    <x:row r="6" spans="1:128" ht="13.2" customHeight="1" thickBot="1" x14ac:dyDescent="0.35">
      <x:c r="A6" s="85"/>
      <x:c r="B6" s="25"/>
      <x:c r="C6" s="25"/>
      <x:c r="D6" s="25"/>
      <x:c r="E6" s="25"/>
      <x:c r="F6" s="777"/>
      <x:c r="G6" s="778"/>
      <x:c r="H6" s="779"/>
      <x:c r="I6" s="52"/>
      <x:c r="J6" s="52"/>
      <x:c r="K6" s="52"/>
      <x:c r="L6" s="52"/>
      <x:c r="M6" s="52"/>
      <x:c r="N6" s="52"/>
      <x:c r="O6" s="87"/>
      <x:c r="P6" s="87"/>
      <x:c r="Q6" s="25"/>
      <x:c r="R6" s="652"/>
      <x:c r="S6" s="25"/>
      <x:c r="T6" s="26"/>
      <x:c r="U6" s="25"/>
      <x:c r="V6" s="25"/>
      <x:c r="W6" s="25"/>
      <x:c r="X6" s="25"/>
      <x:c r="Y6" s="25"/>
      <x:c r="Z6" s="25"/>
      <x:c r="AA6" s="25"/>
      <x:c r="AB6" s="25"/>
      <x:c r="AC6" s="25"/>
      <x:c r="AD6" s="25"/>
      <x:c r="AE6" s="25"/>
      <x:c r="AF6" s="25"/>
      <x:c r="AG6" s="25"/>
      <x:c r="AH6" s="25"/>
      <x:c r="AI6" s="25"/>
      <x:c r="AJ6" s="25"/>
      <x:c r="AK6" s="25"/>
      <x:c r="AL6" s="25"/>
      <x:c r="AM6" s="25"/>
      <x:c r="AN6" s="25"/>
      <x:c r="AO6" s="25"/>
      <x:c r="AP6" s="25"/>
      <x:c r="AQ6" s="25"/>
      <x:c r="AR6" s="25"/>
      <x:c r="AS6" s="25"/>
      <x:c r="AT6" s="25"/>
      <x:c r="AU6" s="25"/>
      <x:c r="AV6" s="25"/>
      <x:c r="AW6" s="25"/>
      <x:c r="AX6" s="25"/>
      <x:c r="AY6" s="25"/>
      <x:c r="AZ6" s="25"/>
      <x:c r="BA6" s="25"/>
      <x:c r="BB6" s="25"/>
      <x:c r="BC6" s="25"/>
      <x:c r="BD6" s="25"/>
      <x:c r="BE6" s="25"/>
      <x:c r="BF6" s="25"/>
      <x:c r="BG6" s="25"/>
      <x:c r="BH6" s="25"/>
      <x:c r="BI6" s="25"/>
      <x:c r="BJ6" s="25"/>
      <x:c r="BK6" s="25"/>
      <x:c r="BL6" s="25"/>
      <x:c r="BM6" s="25"/>
      <x:c r="BN6" s="25"/>
      <x:c r="BO6" s="25"/>
      <x:c r="BP6" s="25"/>
      <x:c r="BQ6" s="25"/>
      <x:c r="BR6" s="25"/>
      <x:c r="BS6" s="25"/>
      <x:c r="BT6" s="25"/>
      <x:c r="BU6" s="25"/>
      <x:c r="BV6" s="25"/>
      <x:c r="BW6" s="25"/>
      <x:c r="BX6" s="25"/>
      <x:c r="BY6" s="25"/>
      <x:c r="BZ6" s="25"/>
      <x:c r="CA6" s="25"/>
      <x:c r="CB6" s="25"/>
      <x:c r="CC6" s="25"/>
      <x:c r="CD6" s="25"/>
      <x:c r="CE6" s="25"/>
      <x:c r="CF6" s="25"/>
      <x:c r="CG6" s="25"/>
      <x:c r="CH6" s="25"/>
      <x:c r="CI6" s="25"/>
      <x:c r="CJ6" s="25"/>
      <x:c r="CK6" s="25"/>
      <x:c r="CL6" s="25"/>
      <x:c r="CM6" s="25"/>
      <x:c r="CN6" s="25"/>
      <x:c r="CO6" s="25"/>
      <x:c r="CP6" s="25"/>
      <x:c r="CQ6" s="25"/>
      <x:c r="CR6" s="25"/>
      <x:c r="CS6" s="25"/>
      <x:c r="CT6" s="25"/>
      <x:c r="CU6" s="25"/>
      <x:c r="CV6" s="25"/>
      <x:c r="CW6" s="25"/>
      <x:c r="CX6" s="25"/>
      <x:c r="CY6" s="25"/>
      <x:c r="CZ6" s="25"/>
      <x:c r="DA6" s="25"/>
      <x:c r="DB6" s="25"/>
      <x:c r="DC6" s="25"/>
      <x:c r="DD6" s="25"/>
      <x:c r="DE6" s="25"/>
      <x:c r="DF6" s="25"/>
      <x:c r="DG6" s="25"/>
      <x:c r="DH6" s="25"/>
      <x:c r="DI6" s="25"/>
      <x:c r="DJ6" s="25"/>
      <x:c r="DK6" s="25"/>
      <x:c r="DL6" s="25"/>
      <x:c r="DM6" s="25"/>
      <x:c r="DN6" s="25"/>
      <x:c r="DO6" s="25"/>
      <x:c r="DP6" s="25"/>
      <x:c r="DQ6" s="25"/>
      <x:c r="DR6" s="25"/>
      <x:c r="DS6" s="25"/>
      <x:c r="DT6" s="25"/>
      <x:c r="DU6" s="25"/>
      <x:c r="DV6" s="25"/>
      <x:c r="DW6" s="25"/>
      <x:c r="DX6" s="25"/>
    </x:row>
    <x:row r="7" spans="1:128" ht="19.2" customHeight="1" x14ac:dyDescent="0.4">
      <x:c r="A7" s="25"/>
      <x:c r="B7" s="57" t="s">
        <x:v>63</x:v>
      </x:c>
      <x:c r="C7" s="25"/>
      <x:c r="D7" s="88"/>
      <x:c r="E7" s="25"/>
      <x:c r="F7" s="25"/>
      <x:c r="G7" s="25"/>
      <x:c r="H7" s="26"/>
      <x:c r="I7" s="25"/>
      <x:c r="J7" s="25"/>
      <x:c r="K7" s="26"/>
      <x:c r="L7" s="30"/>
      <x:c r="M7" s="30"/>
      <x:c r="N7" s="30"/>
      <x:c r="O7" s="25"/>
      <x:c r="P7" s="25"/>
      <x:c r="Q7" s="25"/>
      <x:c r="R7" s="652"/>
      <x:c r="S7" s="25"/>
      <x:c r="T7" s="26"/>
      <x:c r="U7" s="25"/>
      <x:c r="V7" s="25"/>
      <x:c r="W7" s="25"/>
      <x:c r="X7" s="25"/>
      <x:c r="Y7" s="25"/>
      <x:c r="Z7" s="25"/>
      <x:c r="AA7" s="25"/>
      <x:c r="AB7" s="25"/>
      <x:c r="AC7" s="25"/>
      <x:c r="AD7" s="25"/>
      <x:c r="AE7" s="25"/>
      <x:c r="AF7" s="25"/>
      <x:c r="AG7" s="25"/>
      <x:c r="AH7" s="25"/>
      <x:c r="AI7" s="25"/>
      <x:c r="AJ7" s="25"/>
      <x:c r="AK7" s="25"/>
      <x:c r="AL7" s="25"/>
      <x:c r="AM7" s="25"/>
      <x:c r="AN7" s="25"/>
      <x:c r="AO7" s="25"/>
      <x:c r="AP7" s="25"/>
      <x:c r="AQ7" s="25"/>
      <x:c r="AR7" s="25"/>
      <x:c r="AS7" s="25"/>
      <x:c r="AT7" s="25"/>
      <x:c r="AU7" s="25"/>
      <x:c r="AV7" s="25"/>
      <x:c r="AW7" s="25"/>
      <x:c r="AX7" s="25"/>
      <x:c r="AY7" s="25"/>
      <x:c r="AZ7" s="25"/>
      <x:c r="BA7" s="25"/>
      <x:c r="BB7" s="25"/>
      <x:c r="BC7" s="25"/>
      <x:c r="BD7" s="25"/>
      <x:c r="BE7" s="25"/>
      <x:c r="BF7" s="25"/>
      <x:c r="BG7" s="25"/>
      <x:c r="BH7" s="25"/>
      <x:c r="BI7" s="25"/>
      <x:c r="BJ7" s="25"/>
      <x:c r="BK7" s="25"/>
      <x:c r="BL7" s="25"/>
      <x:c r="BM7" s="25"/>
      <x:c r="BN7" s="25"/>
      <x:c r="BO7" s="25"/>
      <x:c r="BP7" s="25"/>
      <x:c r="BQ7" s="25"/>
      <x:c r="BR7" s="25"/>
      <x:c r="BS7" s="25"/>
      <x:c r="BT7" s="25"/>
      <x:c r="BU7" s="25"/>
      <x:c r="BV7" s="25"/>
      <x:c r="BW7" s="25"/>
      <x:c r="BX7" s="25"/>
      <x:c r="BY7" s="25"/>
      <x:c r="BZ7" s="25"/>
      <x:c r="CA7" s="25"/>
      <x:c r="CB7" s="25"/>
      <x:c r="CC7" s="25"/>
      <x:c r="CD7" s="25"/>
      <x:c r="CE7" s="25"/>
      <x:c r="CF7" s="25"/>
      <x:c r="CG7" s="25"/>
      <x:c r="CH7" s="25"/>
      <x:c r="CI7" s="25"/>
      <x:c r="CJ7" s="25"/>
      <x:c r="CK7" s="25"/>
      <x:c r="CL7" s="25"/>
      <x:c r="CM7" s="25"/>
      <x:c r="CN7" s="25"/>
      <x:c r="CO7" s="25"/>
      <x:c r="CP7" s="25"/>
      <x:c r="CQ7" s="25"/>
      <x:c r="CR7" s="25"/>
      <x:c r="CS7" s="25"/>
      <x:c r="CT7" s="25"/>
      <x:c r="CU7" s="25"/>
      <x:c r="CV7" s="25"/>
      <x:c r="CW7" s="25"/>
      <x:c r="CX7" s="25"/>
      <x:c r="CY7" s="25"/>
      <x:c r="CZ7" s="25"/>
      <x:c r="DA7" s="25"/>
      <x:c r="DB7" s="25"/>
      <x:c r="DC7" s="25"/>
      <x:c r="DD7" s="25"/>
      <x:c r="DE7" s="25"/>
      <x:c r="DF7" s="25"/>
      <x:c r="DG7" s="25"/>
      <x:c r="DH7" s="25"/>
      <x:c r="DI7" s="25"/>
      <x:c r="DJ7" s="25"/>
      <x:c r="DK7" s="25"/>
      <x:c r="DL7" s="25"/>
      <x:c r="DM7" s="25"/>
      <x:c r="DN7" s="25"/>
      <x:c r="DO7" s="25"/>
      <x:c r="DP7" s="25"/>
      <x:c r="DQ7" s="25"/>
      <x:c r="DR7" s="25"/>
      <x:c r="DS7" s="25"/>
      <x:c r="DT7" s="25"/>
      <x:c r="DU7" s="25"/>
      <x:c r="DV7" s="25"/>
      <x:c r="DW7" s="25"/>
      <x:c r="DX7" s="25"/>
    </x:row>
    <x:row r="8" spans="1:128" ht="10.95" customHeight="1" thickBot="1" x14ac:dyDescent="0.35">
      <x:c r="A8" s="89"/>
      <x:c r="B8" s="25"/>
      <x:c r="C8" s="25"/>
      <x:c r="D8" s="25"/>
      <x:c r="E8" s="25"/>
      <x:c r="F8" s="25"/>
      <x:c r="G8" s="25"/>
      <x:c r="H8" s="25"/>
      <x:c r="I8" s="25"/>
      <x:c r="J8" s="25"/>
      <x:c r="K8" s="25"/>
      <x:c r="L8" s="25"/>
      <x:c r="M8" s="25"/>
      <x:c r="N8" s="25"/>
      <x:c r="O8" s="25"/>
      <x:c r="P8" s="25"/>
      <x:c r="Q8" s="25"/>
      <x:c r="R8" s="652"/>
      <x:c r="S8" s="25"/>
      <x:c r="T8" s="25"/>
      <x:c r="U8" s="25"/>
      <x:c r="V8" s="25"/>
      <x:c r="W8" s="25"/>
      <x:c r="X8" s="25"/>
      <x:c r="Y8" s="25"/>
      <x:c r="Z8" s="25"/>
      <x:c r="AA8" s="25"/>
      <x:c r="AB8" s="25"/>
      <x:c r="AC8" s="25"/>
      <x:c r="AD8" s="25"/>
      <x:c r="AE8" s="25"/>
      <x:c r="AF8" s="25"/>
      <x:c r="AG8" s="25"/>
      <x:c r="AH8" s="25"/>
      <x:c r="AI8" s="25"/>
      <x:c r="AJ8" s="25"/>
      <x:c r="AK8" s="25"/>
      <x:c r="AL8" s="25"/>
      <x:c r="AM8" s="25"/>
      <x:c r="AN8" s="25"/>
      <x:c r="AO8" s="25"/>
      <x:c r="AP8" s="25"/>
      <x:c r="AQ8" s="25"/>
      <x:c r="AR8" s="25"/>
      <x:c r="AS8" s="25"/>
      <x:c r="AT8" s="25"/>
      <x:c r="AU8" s="25"/>
      <x:c r="AV8" s="25"/>
      <x:c r="AW8" s="25"/>
      <x:c r="AX8" s="25"/>
      <x:c r="AY8" s="25"/>
      <x:c r="AZ8" s="25"/>
      <x:c r="BA8" s="25"/>
      <x:c r="BB8" s="25"/>
      <x:c r="BC8" s="25"/>
      <x:c r="BD8" s="25"/>
      <x:c r="BE8" s="25"/>
      <x:c r="BF8" s="25"/>
      <x:c r="BG8" s="25"/>
      <x:c r="BH8" s="25"/>
      <x:c r="BI8" s="25"/>
      <x:c r="BJ8" s="25"/>
      <x:c r="BK8" s="25"/>
      <x:c r="BL8" s="25"/>
      <x:c r="BM8" s="25"/>
      <x:c r="BN8" s="25"/>
      <x:c r="BO8" s="25"/>
      <x:c r="BP8" s="25"/>
      <x:c r="BQ8" s="25"/>
      <x:c r="BR8" s="25"/>
      <x:c r="BS8" s="25"/>
      <x:c r="BT8" s="25"/>
      <x:c r="BU8" s="25"/>
      <x:c r="BV8" s="25"/>
      <x:c r="BW8" s="25"/>
      <x:c r="BX8" s="25"/>
      <x:c r="BY8" s="25"/>
      <x:c r="BZ8" s="25"/>
      <x:c r="CA8" s="25"/>
      <x:c r="CB8" s="25"/>
      <x:c r="CC8" s="25"/>
      <x:c r="CD8" s="25"/>
      <x:c r="CE8" s="25"/>
      <x:c r="CF8" s="25"/>
      <x:c r="CG8" s="25"/>
      <x:c r="CH8" s="25"/>
      <x:c r="CI8" s="25"/>
      <x:c r="CJ8" s="25"/>
      <x:c r="CK8" s="25"/>
      <x:c r="CL8" s="25"/>
      <x:c r="CM8" s="25"/>
      <x:c r="CN8" s="25"/>
      <x:c r="CO8" s="25"/>
      <x:c r="CP8" s="25"/>
      <x:c r="CQ8" s="25"/>
      <x:c r="CR8" s="25"/>
      <x:c r="CS8" s="25"/>
      <x:c r="CT8" s="25"/>
      <x:c r="CU8" s="25"/>
      <x:c r="CV8" s="25"/>
      <x:c r="CW8" s="25"/>
      <x:c r="CX8" s="25"/>
      <x:c r="CY8" s="25"/>
      <x:c r="CZ8" s="25"/>
      <x:c r="DA8" s="25"/>
      <x:c r="DB8" s="25"/>
      <x:c r="DC8" s="25"/>
      <x:c r="DD8" s="25"/>
      <x:c r="DE8" s="25"/>
      <x:c r="DF8" s="25"/>
      <x:c r="DG8" s="25"/>
      <x:c r="DH8" s="25"/>
      <x:c r="DI8" s="25"/>
      <x:c r="DJ8" s="25"/>
      <x:c r="DK8" s="25"/>
      <x:c r="DL8" s="25"/>
      <x:c r="DM8" s="25"/>
      <x:c r="DN8" s="25"/>
      <x:c r="DO8" s="25"/>
      <x:c r="DP8" s="25"/>
      <x:c r="DQ8" s="25"/>
      <x:c r="DR8" s="25"/>
      <x:c r="DS8" s="25"/>
      <x:c r="DT8" s="25"/>
      <x:c r="DU8" s="25"/>
      <x:c r="DV8" s="25"/>
      <x:c r="DW8" s="25"/>
      <x:c r="DX8" s="25"/>
    </x:row>
    <x:row r="9" spans="1:128" ht="29.55" customHeight="1" x14ac:dyDescent="0.3">
      <x:c r="A9" s="89"/>
      <x:c r="B9" s="734" t="s">
        <x:v>49</x:v>
      </x:c>
      <x:c r="C9" s="723" t="s">
        <x:v>64</x:v>
      </x:c>
      <x:c r="D9" s="724"/>
      <x:c r="E9" s="725"/>
      <x:c r="F9" s="755" t="s">
        <x:v>65</x:v>
      </x:c>
      <x:c r="G9" s="756"/>
      <x:c r="H9" s="757"/>
      <x:c r="I9" s="723" t="s">
        <x:v>66</x:v>
      </x:c>
      <x:c r="J9" s="724"/>
      <x:c r="K9" s="725"/>
      <x:c r="L9" s="752" t="s">
        <x:v>67</x:v>
      </x:c>
      <x:c r="M9" s="753"/>
      <x:c r="N9" s="754"/>
      <x:c r="O9" s="752" t="s">
        <x:v>68</x:v>
      </x:c>
      <x:c r="P9" s="754"/>
      <x:c r="Q9" s="25"/>
      <x:c r="R9" s="652"/>
      <x:c r="S9" s="25"/>
      <x:c r="T9" s="680" t="s">
        <x:v>69</x:v>
      </x:c>
      <x:c r="U9" s="681"/>
      <x:c r="V9" s="682"/>
      <x:c r="W9" s="761" t="s">
        <x:v>70</x:v>
      </x:c>
      <x:c r="X9" s="682"/>
      <x:c r="Y9" s="762"/>
      <x:c r="Z9" s="762"/>
      <x:c r="AA9" s="762"/>
      <x:c r="AB9" s="680" t="s">
        <x:v>71</x:v>
      </x:c>
      <x:c r="AC9" s="681"/>
      <x:c r="AD9" s="682"/>
      <x:c r="AE9" s="680" t="s">
        <x:v>72</x:v>
      </x:c>
      <x:c r="AF9" s="681"/>
      <x:c r="AG9" s="682"/>
      <x:c r="AH9" s="834" t="s">
        <x:v>73</x:v>
      </x:c>
      <x:c r="AI9" s="748" t="s">
        <x:v>74</x:v>
      </x:c>
      <x:c r="AJ9" s="25"/>
      <x:c r="AK9" s="25"/>
      <x:c r="AL9" s="25"/>
      <x:c r="AM9" s="25"/>
      <x:c r="AN9" s="25"/>
      <x:c r="AO9" s="25"/>
      <x:c r="AP9" s="25"/>
      <x:c r="AQ9" s="25"/>
      <x:c r="AR9" s="25"/>
      <x:c r="AS9" s="25"/>
      <x:c r="AT9" s="25"/>
      <x:c r="AU9" s="25"/>
      <x:c r="AV9" s="25"/>
      <x:c r="AW9" s="25"/>
      <x:c r="AX9" s="25"/>
      <x:c r="AY9" s="25"/>
      <x:c r="AZ9" s="25"/>
      <x:c r="BA9" s="25"/>
      <x:c r="BB9" s="25"/>
      <x:c r="BC9" s="25"/>
      <x:c r="BD9" s="25"/>
      <x:c r="BE9" s="25"/>
      <x:c r="BF9" s="25"/>
      <x:c r="BG9" s="25"/>
      <x:c r="BH9" s="25"/>
      <x:c r="BI9" s="25"/>
      <x:c r="BJ9" s="25"/>
      <x:c r="BK9" s="25"/>
      <x:c r="BL9" s="25"/>
      <x:c r="BM9" s="25"/>
      <x:c r="BN9" s="25"/>
      <x:c r="BO9" s="25"/>
      <x:c r="BP9" s="25"/>
      <x:c r="BQ9" s="25"/>
      <x:c r="BR9" s="25"/>
      <x:c r="BS9" s="25"/>
      <x:c r="BT9" s="25"/>
      <x:c r="BU9" s="25"/>
      <x:c r="BV9" s="25"/>
      <x:c r="BW9" s="25"/>
      <x:c r="BX9" s="25"/>
      <x:c r="BY9" s="25"/>
      <x:c r="BZ9" s="25"/>
      <x:c r="CA9" s="25"/>
      <x:c r="CB9" s="25"/>
      <x:c r="CC9" s="25"/>
      <x:c r="CD9" s="25"/>
      <x:c r="CE9" s="25"/>
      <x:c r="CF9" s="25"/>
      <x:c r="CG9" s="25"/>
      <x:c r="CH9" s="25"/>
      <x:c r="CI9" s="25"/>
      <x:c r="CJ9" s="25"/>
      <x:c r="CK9" s="25"/>
      <x:c r="CL9" s="25"/>
      <x:c r="CM9" s="25"/>
      <x:c r="CN9" s="25"/>
      <x:c r="CO9" s="25"/>
      <x:c r="CP9" s="25"/>
      <x:c r="CQ9" s="25"/>
      <x:c r="CR9" s="25"/>
      <x:c r="CS9" s="25"/>
      <x:c r="CT9" s="25"/>
      <x:c r="CU9" s="25"/>
      <x:c r="CV9" s="25"/>
      <x:c r="CW9" s="25"/>
      <x:c r="CX9" s="25"/>
      <x:c r="CY9" s="25"/>
      <x:c r="CZ9" s="25"/>
      <x:c r="DA9" s="25"/>
      <x:c r="DB9" s="25"/>
      <x:c r="DC9" s="25"/>
      <x:c r="DD9" s="25"/>
      <x:c r="DE9" s="25"/>
      <x:c r="DF9" s="25"/>
      <x:c r="DG9" s="25"/>
      <x:c r="DH9" s="25"/>
      <x:c r="DI9" s="25"/>
      <x:c r="DJ9" s="25"/>
      <x:c r="DK9" s="25"/>
      <x:c r="DL9" s="25"/>
      <x:c r="DM9" s="25"/>
      <x:c r="DN9" s="25"/>
      <x:c r="DO9" s="25"/>
      <x:c r="DP9" s="25"/>
      <x:c r="DQ9" s="25"/>
      <x:c r="DR9" s="25"/>
      <x:c r="DS9" s="25"/>
      <x:c r="DT9" s="25"/>
      <x:c r="DU9" s="25"/>
      <x:c r="DV9" s="25"/>
      <x:c r="DW9" s="25"/>
      <x:c r="DX9" s="25"/>
    </x:row>
    <x:row r="10" spans="1:128" ht="31.8" thickBot="1" x14ac:dyDescent="0.35">
      <x:c r="A10" s="89"/>
      <x:c r="B10" s="735"/>
      <x:c r="C10" s="86" t="s">
        <x:v>75</x:v>
      </x:c>
      <x:c r="D10" s="820" t="s">
        <x:v>76</x:v>
      </x:c>
      <x:c r="E10" s="821"/>
      <x:c r="F10" s="758"/>
      <x:c r="G10" s="759"/>
      <x:c r="H10" s="760"/>
      <x:c r="I10" s="86" t="s">
        <x:v>77</x:v>
      </x:c>
      <x:c r="J10" s="197" t="s">
        <x:v>78</x:v>
      </x:c>
      <x:c r="K10" s="90" t="s">
        <x:v>79</x:v>
      </x:c>
      <x:c r="L10" s="86" t="s">
        <x:v>80</x:v>
      </x:c>
      <x:c r="M10" s="197" t="s">
        <x:v>81</x:v>
      </x:c>
      <x:c r="N10" s="90" t="s">
        <x:v>82</x:v>
      </x:c>
      <x:c r="O10" s="86" t="s">
        <x:v>83</x:v>
      </x:c>
      <x:c r="P10" s="90" t="s">
        <x:v>84</x:v>
      </x:c>
      <x:c r="Q10" s="25"/>
      <x:c r="R10" s="652"/>
      <x:c r="S10" s="25"/>
      <x:c r="T10" s="678" t="s">
        <x:v>85</x:v>
      </x:c>
      <x:c r="U10" s="679"/>
      <x:c r="V10" s="92" t="s">
        <x:v>86</x:v>
      </x:c>
      <x:c r="W10" s="334" t="s">
        <x:v>87</x:v>
      </x:c>
      <x:c r="X10" s="92" t="s">
        <x:v>86</x:v>
      </x:c>
      <x:c r="Y10" s="346"/>
      <x:c r="Z10" s="346"/>
      <x:c r="AA10" s="346"/>
      <x:c r="AB10" s="91" t="s">
        <x:v>71</x:v>
      </x:c>
      <x:c r="AC10" s="49" t="s">
        <x:v>71</x:v>
      </x:c>
      <x:c r="AD10" s="92" t="s">
        <x:v>88</x:v>
      </x:c>
      <x:c r="AE10" s="91" t="s">
        <x:v>89</x:v>
      </x:c>
      <x:c r="AF10" s="49" t="s">
        <x:v>90</x:v>
      </x:c>
      <x:c r="AG10" s="92" t="s">
        <x:v>91</x:v>
      </x:c>
      <x:c r="AH10" s="835"/>
      <x:c r="AI10" s="833"/>
      <x:c r="AJ10" s="25"/>
      <x:c r="AK10" s="25"/>
      <x:c r="AL10" s="25"/>
      <x:c r="AM10" s="25"/>
      <x:c r="AN10" s="25"/>
      <x:c r="AO10" s="25"/>
      <x:c r="AP10" s="25"/>
      <x:c r="AQ10" s="25"/>
      <x:c r="AR10" s="25"/>
      <x:c r="AS10" s="25"/>
      <x:c r="AT10" s="25"/>
      <x:c r="AU10" s="25"/>
      <x:c r="AV10" s="25"/>
      <x:c r="AW10" s="25"/>
      <x:c r="AX10" s="25"/>
      <x:c r="AY10" s="25"/>
      <x:c r="AZ10" s="25"/>
      <x:c r="BA10" s="25"/>
      <x:c r="BB10" s="25"/>
      <x:c r="BC10" s="25"/>
      <x:c r="BD10" s="25"/>
      <x:c r="BE10" s="25"/>
      <x:c r="BF10" s="25"/>
      <x:c r="BG10" s="25"/>
      <x:c r="BH10" s="25"/>
      <x:c r="BI10" s="25"/>
      <x:c r="BJ10" s="25"/>
      <x:c r="BK10" s="25"/>
      <x:c r="BL10" s="25"/>
      <x:c r="BM10" s="25"/>
      <x:c r="BN10" s="25"/>
      <x:c r="BO10" s="25"/>
      <x:c r="BP10" s="25"/>
      <x:c r="BQ10" s="25"/>
      <x:c r="BR10" s="25"/>
      <x:c r="BS10" s="25"/>
      <x:c r="BT10" s="25"/>
      <x:c r="BU10" s="25"/>
      <x:c r="BV10" s="25"/>
      <x:c r="BW10" s="25"/>
      <x:c r="BX10" s="25"/>
      <x:c r="BY10" s="25"/>
      <x:c r="BZ10" s="25"/>
      <x:c r="CA10" s="25"/>
      <x:c r="CB10" s="25"/>
      <x:c r="CC10" s="25"/>
      <x:c r="CD10" s="25"/>
      <x:c r="CE10" s="25"/>
      <x:c r="CF10" s="25"/>
      <x:c r="CG10" s="25"/>
      <x:c r="CH10" s="25"/>
      <x:c r="CI10" s="25"/>
      <x:c r="CJ10" s="25"/>
      <x:c r="CK10" s="25"/>
      <x:c r="CL10" s="25"/>
      <x:c r="CM10" s="25"/>
      <x:c r="CN10" s="25"/>
      <x:c r="CO10" s="25"/>
      <x:c r="CP10" s="25"/>
      <x:c r="CQ10" s="25"/>
      <x:c r="CR10" s="25"/>
      <x:c r="CS10" s="25"/>
      <x:c r="CT10" s="25"/>
      <x:c r="CU10" s="25"/>
      <x:c r="CV10" s="25"/>
      <x:c r="CW10" s="25"/>
      <x:c r="CX10" s="25"/>
      <x:c r="CY10" s="25"/>
      <x:c r="CZ10" s="25"/>
      <x:c r="DA10" s="25"/>
      <x:c r="DB10" s="25"/>
      <x:c r="DC10" s="25"/>
      <x:c r="DD10" s="25"/>
      <x:c r="DE10" s="25"/>
      <x:c r="DF10" s="25"/>
      <x:c r="DG10" s="25"/>
      <x:c r="DH10" s="25"/>
      <x:c r="DI10" s="25"/>
      <x:c r="DJ10" s="25"/>
      <x:c r="DK10" s="25"/>
      <x:c r="DL10" s="25"/>
      <x:c r="DM10" s="25"/>
      <x:c r="DN10" s="25"/>
      <x:c r="DO10" s="25"/>
      <x:c r="DP10" s="25"/>
      <x:c r="DQ10" s="25"/>
      <x:c r="DR10" s="25"/>
      <x:c r="DS10" s="25"/>
      <x:c r="DT10" s="25"/>
      <x:c r="DU10" s="25"/>
      <x:c r="DV10" s="25"/>
      <x:c r="DW10" s="25"/>
      <x:c r="DX10" s="25"/>
    </x:row>
    <x:row r="11" spans="1:128" ht="15.6" x14ac:dyDescent="0.3">
      <x:c r="A11" s="89"/>
      <x:c r="B11" s="263">
        <x:v>1</x:v>
      </x:c>
      <x:c r="C11" s="258" t="inlineStr">
        <x:v/>
        <x:is>
          <x:t xml:space="preserve">Urban</x:t>
        </x:is>
      </x:c>
      <x:c r="D11" s="719" t="inlineStr">
        <x:v/>
        <x:is>
          <x:t xml:space="preserve">Unvegetated garden</x:t>
        </x:is>
      </x:c>
      <x:c r="E11" s="720"/>
      <x:c r="F11" s="765" t="inlineStr">
        <x:v/>
        <x:is>
          <x:t xml:space="preserve">Area/compensation not in local strategy/ no local strategy</x:t>
        </x:is>
      </x:c>
      <x:c r="G11" s="766"/>
      <x:c r="H11" s="767"/>
      <x:c r="I11" s="305" t="n">
        <x:v>13.3555</x:v>
      </x:c>
      <x:c r="J11" s="323" t="n">
        <x:v>6.6674</x:v>
      </x:c>
      <x:c r="K11" s="307" t="n">
        <x:v>0</x:v>
      </x:c>
      <x:c r="L11" s="408" t="str">
        <x:f>IF(C11="","",IFERROR(IF(I11="","",((I11/10000)*V11*X11)*AD11),"Error ▲"))</x:f>
        <x:v/>
      </x:c>
      <x:c r="M11" s="408" t="str">
        <x:f>IF(I11="","",IF(J11+K11&gt;I11,"Area Error ▲",I11-J11-K11))</x:f>
        <x:v/>
      </x:c>
      <x:c r="N11" s="409" t="str">
        <x:f>IFERROR(IF(I11="","",IF(M11="Area Error ▲","Area Error ▲",((M11/10000)*V11*X11)*AD11)),"This intervention is not permitted within the SSM ▲")</x:f>
        <x:v/>
      </x:c>
      <x:c r="O11" s="67" t="inlineStr">
        <x:v/>
        <x:is>
          <x:t xml:space="preserve"/>
        </x:is>
      </x:c>
      <x:c r="P11" s="5"/>
      <x:c r="Q11" s="25"/>
      <x:c r="R11" s="652"/>
      <x:c r="S11" s="25"/>
      <x:c r="T11" s="661" t="str">
        <x:f>IF(C11="","",VLOOKUP(D11,'9. All Habitats + Multipliers'!$C$4:$K$102,5,FALSE))</x:f>
        <x:v/>
      </x:c>
      <x:c r="U11" s="662"/>
      <x:c r="V11" s="94" t="str">
        <x:f>IF(T11="","",VLOOKUP(T11,'11. Lists'!$B$47:$D$49,2,FALSE))</x:f>
        <x:v/>
      </x:c>
      <x:c r="W11" s="184" t="str">
        <x:f>IF(C11="","",VLOOKUP(D11,'10. Condition and Temporal'!$B$6:$C$103,2,FALSE))</x:f>
        <x:v/>
      </x:c>
      <x:c r="X11" s="94" t="str">
        <x:f>IF(W11="","",VLOOKUP(W11,'11. Lists'!$F$47:$G$51,2,FALSE))</x:f>
        <x:v/>
      </x:c>
      <x:c r="Y11" s="48"/>
      <x:c r="Z11" s="48"/>
      <x:c r="AA11" s="48"/>
      <x:c r="AB11" s="93" t="str">
        <x:f>IF(F11="","",F11)</x:f>
        <x:v/>
      </x:c>
      <x:c r="AC11" s="95" t="str">
        <x:f>IF(AB11="","",VLOOKUP(AB11,'11. Lists'!$F$36:$H$38,2,FALSE))</x:f>
        <x:v/>
      </x:c>
      <x:c r="AD11" s="94" t="str">
        <x:f>IF(AB11="","",VLOOKUP(AB11,'11. Lists'!$F$36:$H$38,3,FALSE))</x:f>
        <x:v/>
      </x:c>
      <x:c r="AE11" s="298" t="str">
        <x:f>IF(D11="","",((J11/10000)*V11*X11)*AD11)</x:f>
        <x:v/>
      </x:c>
      <x:c r="AF11" s="299" t="str">
        <x:f>IF(D11="","",((K11/10000)*V11*X11)*AD11)</x:f>
        <x:v/>
      </x:c>
      <x:c r="AG11" s="96" t="str">
        <x:f>IF(D11="","",M11)</x:f>
        <x:v/>
      </x:c>
      <x:c r="AH11" s="511" t="str">
        <x:f>IF(T11="","",VLOOKUP(T11,'11. Lists'!$B$47:$D$49,3,FALSE))</x:f>
        <x:v/>
      </x:c>
      <x:c r="AI11" s="545" t="str">
        <x:f>IF(D11="","",VLOOKUP(D11,'10. Condition and Temporal'!$B$6:$L$103,4,FALSE))</x:f>
        <x:v/>
      </x:c>
      <x:c r="AJ11" s="25"/>
      <x:c r="AK11" s="25"/>
      <x:c r="AL11" s="25"/>
      <x:c r="AM11" s="25"/>
      <x:c r="AN11" s="25"/>
      <x:c r="AO11" s="25"/>
      <x:c r="AP11" s="25"/>
      <x:c r="AQ11" s="25"/>
      <x:c r="AR11" s="25"/>
      <x:c r="AS11" s="25"/>
      <x:c r="AT11" s="25"/>
      <x:c r="AU11" s="25"/>
      <x:c r="AV11" s="25"/>
      <x:c r="AW11" s="25"/>
      <x:c r="AX11" s="25"/>
      <x:c r="AY11" s="25"/>
      <x:c r="AZ11" s="25"/>
      <x:c r="BA11" s="25"/>
      <x:c r="BB11" s="25"/>
      <x:c r="BC11" s="25"/>
      <x:c r="BD11" s="25"/>
      <x:c r="BE11" s="25"/>
      <x:c r="BF11" s="25"/>
      <x:c r="BG11" s="25"/>
      <x:c r="BH11" s="25"/>
      <x:c r="BI11" s="25"/>
      <x:c r="BJ11" s="25"/>
      <x:c r="BK11" s="25"/>
      <x:c r="BL11" s="25"/>
      <x:c r="BM11" s="25"/>
      <x:c r="BN11" s="25"/>
      <x:c r="BO11" s="25"/>
      <x:c r="BP11" s="25"/>
      <x:c r="BQ11" s="25"/>
      <x:c r="BR11" s="25"/>
      <x:c r="BS11" s="25"/>
      <x:c r="BT11" s="25"/>
      <x:c r="BU11" s="25"/>
      <x:c r="BV11" s="25"/>
      <x:c r="BW11" s="25"/>
      <x:c r="BX11" s="25"/>
      <x:c r="BY11" s="25"/>
      <x:c r="BZ11" s="25"/>
      <x:c r="CA11" s="25"/>
      <x:c r="CB11" s="25"/>
      <x:c r="CC11" s="25"/>
      <x:c r="CD11" s="25"/>
      <x:c r="CE11" s="25"/>
      <x:c r="CF11" s="25"/>
      <x:c r="CG11" s="25"/>
      <x:c r="CH11" s="25"/>
      <x:c r="CI11" s="25"/>
      <x:c r="CJ11" s="25"/>
      <x:c r="CK11" s="25"/>
      <x:c r="CL11" s="25"/>
      <x:c r="CM11" s="25"/>
      <x:c r="CN11" s="25"/>
      <x:c r="CO11" s="25"/>
      <x:c r="CP11" s="25"/>
      <x:c r="CQ11" s="25"/>
      <x:c r="CR11" s="25"/>
      <x:c r="CS11" s="25"/>
      <x:c r="CT11" s="25"/>
      <x:c r="CU11" s="25"/>
      <x:c r="CV11" s="25"/>
      <x:c r="CW11" s="25"/>
      <x:c r="CX11" s="25"/>
      <x:c r="CY11" s="25"/>
      <x:c r="CZ11" s="25"/>
      <x:c r="DA11" s="25"/>
      <x:c r="DB11" s="25"/>
      <x:c r="DC11" s="25"/>
      <x:c r="DD11" s="25"/>
      <x:c r="DE11" s="25"/>
      <x:c r="DF11" s="25"/>
      <x:c r="DG11" s="25"/>
      <x:c r="DH11" s="25"/>
      <x:c r="DI11" s="25"/>
      <x:c r="DJ11" s="25"/>
      <x:c r="DK11" s="25"/>
      <x:c r="DL11" s="25"/>
      <x:c r="DM11" s="25"/>
      <x:c r="DN11" s="25"/>
      <x:c r="DO11" s="25"/>
      <x:c r="DP11" s="25"/>
      <x:c r="DQ11" s="25"/>
      <x:c r="DR11" s="25"/>
      <x:c r="DS11" s="25"/>
      <x:c r="DT11" s="25"/>
      <x:c r="DU11" s="25"/>
      <x:c r="DV11" s="25"/>
      <x:c r="DW11" s="25"/>
      <x:c r="DX11" s="25"/>
    </x:row>
    <x:row r="12" spans="1:128" ht="15.6" x14ac:dyDescent="0.3">
      <x:c r="A12" s="25"/>
      <x:c r="B12" s="264">
        <x:v>2</x:v>
      </x:c>
      <x:c r="C12" s="258" t="inlineStr">
        <x:v/>
        <x:is>
          <x:t xml:space="preserve">Urban</x:t>
        </x:is>
      </x:c>
      <x:c r="D12" s="822" t="inlineStr">
        <x:v/>
        <x:is>
          <x:t xml:space="preserve">Vegetated garden</x:t>
        </x:is>
      </x:c>
      <x:c r="E12" s="823"/>
      <x:c r="F12" s="765" t="inlineStr">
        <x:v/>
        <x:is>
          <x:t xml:space="preserve">Area/compensation not in local strategy/ no local strategy</x:t>
        </x:is>
      </x:c>
      <x:c r="G12" s="766"/>
      <x:c r="H12" s="767"/>
      <x:c r="I12" s="305" t="n">
        <x:v>6.6058</x:v>
      </x:c>
      <x:c r="J12" s="306" t="n">
        <x:v>6.6058</x:v>
      </x:c>
      <x:c r="K12" s="307" t="n">
        <x:v>0</x:v>
      </x:c>
      <x:c r="L12" s="301" t="str">
        <x:f t="shared" ref="L12:L30" si="0">IF(C12="","",IFERROR(IF(I12="","",((I12/10000)*V12*X12)*AD12),"Error ▲"))</x:f>
        <x:v/>
      </x:c>
      <x:c r="M12" s="301" t="str">
        <x:f t="shared" ref="M12:M30" si="1">IF(I12="","",IF(J12+K12&gt;I12,"Area Error ▲",I12-J12-K12))</x:f>
        <x:v/>
      </x:c>
      <x:c r="N12" s="356" t="str">
        <x:f t="shared" ref="N12:N30" si="2">IFERROR(IF(I12="","",IF(M12="Area Error ▲","Area Error ▲",((M12/10000)*V12*X12)*AD12)),"This intervention is not permitted within the SSM ▲")</x:f>
        <x:v/>
      </x:c>
      <x:c r="O12" s="68" t="inlineStr">
        <x:v/>
        <x:is>
          <x:t xml:space="preserve"/>
        </x:is>
      </x:c>
      <x:c r="P12" s="3"/>
      <x:c r="Q12" s="25"/>
      <x:c r="R12" s="652"/>
      <x:c r="S12" s="25"/>
      <x:c r="T12" s="661" t="str">
        <x:f>IF(C12="","",VLOOKUP(D12,'9. All Habitats + Multipliers'!$C$4:$K$102,5,FALSE))</x:f>
        <x:v/>
      </x:c>
      <x:c r="U12" s="662"/>
      <x:c r="V12" s="94" t="str">
        <x:f>IF(T12="","",VLOOKUP(T12,'11. Lists'!$B$47:$D$49,2,FALSE))</x:f>
        <x:v/>
      </x:c>
      <x:c r="W12" s="184" t="str">
        <x:f>IF(C12="","",VLOOKUP(D12,'10. Condition and Temporal'!$B$6:$C$103,2,FALSE))</x:f>
        <x:v/>
      </x:c>
      <x:c r="X12" s="94" t="str">
        <x:f>IF(W12="","",VLOOKUP(W12,'11. Lists'!$F$47:$G$51,2,FALSE))</x:f>
        <x:v/>
      </x:c>
      <x:c r="Y12" s="48"/>
      <x:c r="Z12" s="48"/>
      <x:c r="AA12" s="48"/>
      <x:c r="AB12" s="93" t="str">
        <x:f>IF(F12="","",F12)</x:f>
        <x:v/>
      </x:c>
      <x:c r="AC12" s="95" t="str">
        <x:f>IF(AB12="","",VLOOKUP(AB12,'11. Lists'!$F$36:$H$38,2,FALSE))</x:f>
        <x:v/>
      </x:c>
      <x:c r="AD12" s="94" t="str">
        <x:f>IF(AB12="","",VLOOKUP(AB12,'11. Lists'!$F$36:$H$38,3,FALSE))</x:f>
        <x:v/>
      </x:c>
      <x:c r="AE12" s="298" t="str">
        <x:f t="shared" ref="AE12:AE30" si="3">IF(D12="","",((J12/10000)*V12*X12)*AD12)</x:f>
        <x:v/>
      </x:c>
      <x:c r="AF12" s="299" t="str">
        <x:f t="shared" ref="AF12:AF30" si="4">IF(D12="","",((K12/10000)*V12*X12)*AD12)</x:f>
        <x:v/>
      </x:c>
      <x:c r="AG12" s="96" t="str">
        <x:f t="shared" ref="AG12:AG31" si="5">IF(D12="","",M12)</x:f>
        <x:v/>
      </x:c>
      <x:c r="AH12" s="511" t="str">
        <x:f>IF(T12="","",VLOOKUP(T12,'11. Lists'!$B$47:$D$49,3,FALSE))</x:f>
        <x:v/>
      </x:c>
      <x:c r="AI12" s="545" t="str">
        <x:f>IF(D12="","",VLOOKUP(D12,'10. Condition and Temporal'!$B$6:$L$103,4,FALSE))</x:f>
        <x:v/>
      </x:c>
      <x:c r="AJ12" s="25"/>
      <x:c r="AK12" s="25"/>
      <x:c r="AL12" s="25"/>
      <x:c r="AM12" s="25"/>
      <x:c r="AN12" s="25"/>
      <x:c r="AO12" s="25"/>
      <x:c r="AP12" s="25"/>
      <x:c r="AQ12" s="25"/>
      <x:c r="AR12" s="25"/>
      <x:c r="AS12" s="25"/>
      <x:c r="AT12" s="25"/>
      <x:c r="AU12" s="25"/>
      <x:c r="AV12" s="25"/>
      <x:c r="AW12" s="25"/>
      <x:c r="AX12" s="25"/>
      <x:c r="AY12" s="25"/>
      <x:c r="AZ12" s="25"/>
      <x:c r="BA12" s="25"/>
      <x:c r="BB12" s="25"/>
      <x:c r="BC12" s="25"/>
      <x:c r="BD12" s="25"/>
      <x:c r="BE12" s="25"/>
      <x:c r="BF12" s="25"/>
      <x:c r="BG12" s="25"/>
      <x:c r="BH12" s="25"/>
      <x:c r="BI12" s="25"/>
      <x:c r="BJ12" s="25"/>
      <x:c r="BK12" s="25"/>
      <x:c r="BL12" s="25"/>
      <x:c r="BM12" s="25"/>
      <x:c r="BN12" s="25"/>
      <x:c r="BO12" s="25"/>
      <x:c r="BP12" s="25"/>
      <x:c r="BQ12" s="25"/>
      <x:c r="BR12" s="25"/>
      <x:c r="BS12" s="25"/>
      <x:c r="BT12" s="25"/>
      <x:c r="BU12" s="25"/>
      <x:c r="BV12" s="25"/>
      <x:c r="BW12" s="25"/>
      <x:c r="BX12" s="25"/>
      <x:c r="BY12" s="25"/>
      <x:c r="BZ12" s="25"/>
      <x:c r="CA12" s="25"/>
      <x:c r="CB12" s="25"/>
      <x:c r="CC12" s="25"/>
      <x:c r="CD12" s="25"/>
      <x:c r="CE12" s="25"/>
      <x:c r="CF12" s="25"/>
      <x:c r="CG12" s="25"/>
      <x:c r="CH12" s="25"/>
      <x:c r="CI12" s="25"/>
      <x:c r="CJ12" s="25"/>
      <x:c r="CK12" s="25"/>
      <x:c r="CL12" s="25"/>
      <x:c r="CM12" s="25"/>
      <x:c r="CN12" s="25"/>
      <x:c r="CO12" s="25"/>
      <x:c r="CP12" s="25"/>
      <x:c r="CQ12" s="25"/>
      <x:c r="CR12" s="25"/>
      <x:c r="CS12" s="25"/>
      <x:c r="CT12" s="25"/>
      <x:c r="CU12" s="25"/>
      <x:c r="CV12" s="25"/>
      <x:c r="CW12" s="25"/>
      <x:c r="CX12" s="25"/>
      <x:c r="CY12" s="25"/>
      <x:c r="CZ12" s="25"/>
      <x:c r="DA12" s="25"/>
      <x:c r="DB12" s="25"/>
      <x:c r="DC12" s="25"/>
      <x:c r="DD12" s="25"/>
      <x:c r="DE12" s="25"/>
      <x:c r="DF12" s="25"/>
      <x:c r="DG12" s="25"/>
      <x:c r="DH12" s="25"/>
      <x:c r="DI12" s="25"/>
      <x:c r="DJ12" s="25"/>
      <x:c r="DK12" s="25"/>
      <x:c r="DL12" s="25"/>
      <x:c r="DM12" s="25"/>
      <x:c r="DN12" s="25"/>
      <x:c r="DO12" s="25"/>
      <x:c r="DP12" s="25"/>
      <x:c r="DQ12" s="25"/>
      <x:c r="DR12" s="25"/>
      <x:c r="DS12" s="25"/>
      <x:c r="DT12" s="25"/>
      <x:c r="DU12" s="25"/>
      <x:c r="DV12" s="25"/>
      <x:c r="DW12" s="25"/>
      <x:c r="DX12" s="25"/>
    </x:row>
    <x:row r="13" spans="1:128" ht="15.6" x14ac:dyDescent="0.3">
      <x:c r="A13" s="25"/>
      <x:c r="B13" s="264">
        <x:v>3</x:v>
      </x:c>
      <x:c r="C13" s="258" t="inlineStr">
        <x:v/>
        <x:is>
          <x:t xml:space="preserve">Urban</x:t>
        </x:is>
      </x:c>
      <x:c r="D13" s="822" t="inlineStr">
        <x:v/>
        <x:is>
          <x:t xml:space="preserve">Vegetated garden</x:t>
        </x:is>
      </x:c>
      <x:c r="E13" s="823"/>
      <x:c r="F13" s="765" t="inlineStr">
        <x:v/>
        <x:is>
          <x:t xml:space="preserve">Area/compensation not in local strategy/ no local strategy</x:t>
        </x:is>
      </x:c>
      <x:c r="G13" s="766"/>
      <x:c r="H13" s="767"/>
      <x:c r="I13" s="305" t="n">
        <x:v>153.485</x:v>
      </x:c>
      <x:c r="J13" s="306" t="n">
        <x:v>91.9055</x:v>
      </x:c>
      <x:c r="K13" s="307" t="n">
        <x:v>0</x:v>
      </x:c>
      <x:c r="L13" s="301" t="str">
        <x:f t="shared" si="0"/>
        <x:v/>
      </x:c>
      <x:c r="M13" s="301" t="str">
        <x:f t="shared" si="1"/>
        <x:v/>
      </x:c>
      <x:c r="N13" s="356" t="str">
        <x:f t="shared" si="2"/>
        <x:v/>
      </x:c>
      <x:c r="O13" s="68" t="inlineStr">
        <x:v/>
        <x:is>
          <x:t xml:space="preserve"/>
        </x:is>
      </x:c>
      <x:c r="P13" s="3"/>
      <x:c r="Q13" s="25"/>
      <x:c r="R13" s="652"/>
      <x:c r="S13" s="25"/>
      <x:c r="T13" s="661" t="str">
        <x:f>IF(C13="","",VLOOKUP(D13,'9. All Habitats + Multipliers'!$C$4:$K$102,5,FALSE))</x:f>
        <x:v/>
      </x:c>
      <x:c r="U13" s="662"/>
      <x:c r="V13" s="94" t="str">
        <x:f>IF(T13="","",VLOOKUP(T13,'11. Lists'!$B$47:$D$49,2,FALSE))</x:f>
        <x:v/>
      </x:c>
      <x:c r="W13" s="184" t="str">
        <x:f>IF(C13="","",VLOOKUP(D13,'10. Condition and Temporal'!$B$6:$C$103,2,FALSE))</x:f>
        <x:v/>
      </x:c>
      <x:c r="X13" s="94" t="str">
        <x:f>IF(W13="","",VLOOKUP(W13,'11. Lists'!$F$47:$G$51,2,FALSE))</x:f>
        <x:v/>
      </x:c>
      <x:c r="Y13" s="48"/>
      <x:c r="Z13" s="48"/>
      <x:c r="AA13" s="48"/>
      <x:c r="AB13" s="93" t="str">
        <x:f t="shared" ref="AB13:AB30" si="6">IF(F13="","",F13)</x:f>
        <x:v/>
      </x:c>
      <x:c r="AC13" s="95" t="str">
        <x:f>IF(AB13="","",VLOOKUP(AB13,'11. Lists'!$F$36:$H$38,2,FALSE))</x:f>
        <x:v/>
      </x:c>
      <x:c r="AD13" s="94" t="str">
        <x:f>IF(AB13="","",VLOOKUP(AB13,'11. Lists'!$F$36:$H$38,3,FALSE))</x:f>
        <x:v/>
      </x:c>
      <x:c r="AE13" s="298" t="str">
        <x:f t="shared" si="3"/>
        <x:v/>
      </x:c>
      <x:c r="AF13" s="299" t="str">
        <x:f t="shared" si="4"/>
        <x:v/>
      </x:c>
      <x:c r="AG13" s="96" t="str">
        <x:f t="shared" si="5"/>
        <x:v/>
      </x:c>
      <x:c r="AH13" s="511" t="str">
        <x:f>IF(T13="","",VLOOKUP(T13,'11. Lists'!$B$47:$D$49,3,FALSE))</x:f>
        <x:v/>
      </x:c>
      <x:c r="AI13" s="545" t="str">
        <x:f>IF(D13="","",VLOOKUP(D13,'10. Condition and Temporal'!$B$6:$L$103,4,FALSE))</x:f>
        <x:v/>
      </x:c>
      <x:c r="AJ13" s="25"/>
      <x:c r="AK13" s="25"/>
      <x:c r="AL13" s="25"/>
      <x:c r="AM13" s="25"/>
      <x:c r="AN13" s="25"/>
      <x:c r="AO13" s="25"/>
      <x:c r="AP13" s="25"/>
      <x:c r="AQ13" s="25"/>
      <x:c r="AR13" s="25"/>
      <x:c r="AS13" s="25"/>
      <x:c r="AT13" s="25"/>
      <x:c r="AU13" s="25"/>
      <x:c r="AV13" s="25"/>
      <x:c r="AW13" s="25"/>
      <x:c r="AX13" s="25"/>
      <x:c r="AY13" s="25"/>
      <x:c r="AZ13" s="25"/>
      <x:c r="BA13" s="25"/>
      <x:c r="BB13" s="25"/>
      <x:c r="BC13" s="25"/>
      <x:c r="BD13" s="25"/>
      <x:c r="BE13" s="25"/>
      <x:c r="BF13" s="25"/>
      <x:c r="BG13" s="25"/>
      <x:c r="BH13" s="25"/>
      <x:c r="BI13" s="25"/>
      <x:c r="BJ13" s="25"/>
      <x:c r="BK13" s="25"/>
      <x:c r="BL13" s="25"/>
      <x:c r="BM13" s="25"/>
      <x:c r="BN13" s="25"/>
      <x:c r="BO13" s="25"/>
      <x:c r="BP13" s="25"/>
      <x:c r="BQ13" s="25"/>
      <x:c r="BR13" s="25"/>
      <x:c r="BS13" s="25"/>
      <x:c r="BT13" s="25"/>
      <x:c r="BU13" s="25"/>
      <x:c r="BV13" s="25"/>
      <x:c r="BW13" s="25"/>
      <x:c r="BX13" s="25"/>
      <x:c r="BY13" s="25"/>
      <x:c r="BZ13" s="25"/>
      <x:c r="CA13" s="25"/>
      <x:c r="CB13" s="25"/>
      <x:c r="CC13" s="25"/>
      <x:c r="CD13" s="25"/>
      <x:c r="CE13" s="25"/>
      <x:c r="CF13" s="25"/>
      <x:c r="CG13" s="25"/>
      <x:c r="CH13" s="25"/>
      <x:c r="CI13" s="25"/>
      <x:c r="CJ13" s="25"/>
      <x:c r="CK13" s="25"/>
      <x:c r="CL13" s="25"/>
      <x:c r="CM13" s="25"/>
      <x:c r="CN13" s="25"/>
      <x:c r="CO13" s="25"/>
      <x:c r="CP13" s="25"/>
      <x:c r="CQ13" s="25"/>
      <x:c r="CR13" s="25"/>
      <x:c r="CS13" s="25"/>
      <x:c r="CT13" s="25"/>
      <x:c r="CU13" s="25"/>
      <x:c r="CV13" s="25"/>
      <x:c r="CW13" s="25"/>
      <x:c r="CX13" s="25"/>
      <x:c r="CY13" s="25"/>
      <x:c r="CZ13" s="25"/>
      <x:c r="DA13" s="25"/>
      <x:c r="DB13" s="25"/>
      <x:c r="DC13" s="25"/>
      <x:c r="DD13" s="25"/>
      <x:c r="DE13" s="25"/>
      <x:c r="DF13" s="25"/>
      <x:c r="DG13" s="25"/>
      <x:c r="DH13" s="25"/>
      <x:c r="DI13" s="25"/>
      <x:c r="DJ13" s="25"/>
      <x:c r="DK13" s="25"/>
      <x:c r="DL13" s="25"/>
      <x:c r="DM13" s="25"/>
      <x:c r="DN13" s="25"/>
      <x:c r="DO13" s="25"/>
      <x:c r="DP13" s="25"/>
      <x:c r="DQ13" s="25"/>
      <x:c r="DR13" s="25"/>
      <x:c r="DS13" s="25"/>
      <x:c r="DT13" s="25"/>
      <x:c r="DU13" s="25"/>
      <x:c r="DV13" s="25"/>
      <x:c r="DW13" s="25"/>
      <x:c r="DX13" s="25"/>
    </x:row>
    <x:row r="14" spans="1:128" ht="15.6" x14ac:dyDescent="0.3">
      <x:c r="A14" s="25"/>
      <x:c r="B14" s="264">
        <x:v>4</x:v>
      </x:c>
      <x:c r="C14" s="258" t="inlineStr">
        <x:v/>
        <x:is>
          <x:t xml:space="preserve">Urban</x:t>
        </x:is>
      </x:c>
      <x:c r="D14" s="719" t="inlineStr">
        <x:v/>
        <x:is>
          <x:t xml:space="preserve">Vegetated garden</x:t>
        </x:is>
      </x:c>
      <x:c r="E14" s="720"/>
      <x:c r="F14" s="765" t="inlineStr">
        <x:v/>
        <x:is>
          <x:t xml:space="preserve">Area/compensation not in local strategy/ no local strategy</x:t>
        </x:is>
      </x:c>
      <x:c r="G14" s="766"/>
      <x:c r="H14" s="767"/>
      <x:c r="I14" s="305" t="n">
        <x:v>23.759900000000002</x:v>
      </x:c>
      <x:c r="J14" s="306" t="n">
        <x:v>12.3802</x:v>
      </x:c>
      <x:c r="K14" s="307" t="n">
        <x:v>0</x:v>
      </x:c>
      <x:c r="L14" s="301" t="str">
        <x:f t="shared" si="0"/>
        <x:v/>
      </x:c>
      <x:c r="M14" s="301" t="str">
        <x:f t="shared" si="1"/>
        <x:v/>
      </x:c>
      <x:c r="N14" s="356" t="str">
        <x:f t="shared" si="2"/>
        <x:v/>
      </x:c>
      <x:c r="O14" s="68" t="inlineStr">
        <x:v/>
        <x:is>
          <x:t xml:space="preserve"/>
        </x:is>
      </x:c>
      <x:c r="P14" s="3"/>
      <x:c r="Q14" s="25"/>
      <x:c r="R14" s="652"/>
      <x:c r="S14" s="25"/>
      <x:c r="T14" s="661" t="str">
        <x:f>IF(C14="","",VLOOKUP(D14,'9. All Habitats + Multipliers'!$C$4:$K$102,5,FALSE))</x:f>
        <x:v/>
      </x:c>
      <x:c r="U14" s="662"/>
      <x:c r="V14" s="94" t="str">
        <x:f>IF(T14="","",VLOOKUP(T14,'11. Lists'!$B$47:$D$49,2,FALSE))</x:f>
        <x:v/>
      </x:c>
      <x:c r="W14" s="184" t="str">
        <x:f>IF(C14="","",VLOOKUP(D14,'10. Condition and Temporal'!$B$6:$C$103,2,FALSE))</x:f>
        <x:v/>
      </x:c>
      <x:c r="X14" s="94" t="str">
        <x:f>IF(W14="","",VLOOKUP(W14,'11. Lists'!$F$47:$G$51,2,FALSE))</x:f>
        <x:v/>
      </x:c>
      <x:c r="Y14" s="48"/>
      <x:c r="Z14" s="48"/>
      <x:c r="AA14" s="48"/>
      <x:c r="AB14" s="93" t="str">
        <x:f t="shared" si="6"/>
        <x:v/>
      </x:c>
      <x:c r="AC14" s="95" t="str">
        <x:f>IF(AB14="","",VLOOKUP(AB14,'11. Lists'!$F$36:$H$38,2,FALSE))</x:f>
        <x:v/>
      </x:c>
      <x:c r="AD14" s="94" t="str">
        <x:f>IF(AB14="","",VLOOKUP(AB14,'11. Lists'!$F$36:$H$38,3,FALSE))</x:f>
        <x:v/>
      </x:c>
      <x:c r="AE14" s="298" t="str">
        <x:f t="shared" si="3"/>
        <x:v/>
      </x:c>
      <x:c r="AF14" s="299" t="str">
        <x:f t="shared" si="4"/>
        <x:v/>
      </x:c>
      <x:c r="AG14" s="96" t="str">
        <x:f t="shared" si="5"/>
        <x:v/>
      </x:c>
      <x:c r="AH14" s="511" t="str">
        <x:f>IF(T14="","",VLOOKUP(T14,'11. Lists'!$B$47:$D$49,3,FALSE))</x:f>
        <x:v/>
      </x:c>
      <x:c r="AI14" s="545" t="str">
        <x:f>IF(D14="","",VLOOKUP(D14,'10. Condition and Temporal'!$B$6:$L$103,4,FALSE))</x:f>
        <x:v/>
      </x:c>
      <x:c r="AJ14" s="25"/>
      <x:c r="AK14" s="25"/>
      <x:c r="AL14" s="25"/>
      <x:c r="AM14" s="25"/>
      <x:c r="AN14" s="25"/>
      <x:c r="AO14" s="25"/>
      <x:c r="AP14" s="25"/>
      <x:c r="AQ14" s="25"/>
      <x:c r="AR14" s="25"/>
      <x:c r="AS14" s="25"/>
      <x:c r="AT14" s="25"/>
      <x:c r="AU14" s="25"/>
      <x:c r="AV14" s="25"/>
      <x:c r="AW14" s="25"/>
      <x:c r="AX14" s="25"/>
      <x:c r="AY14" s="25"/>
      <x:c r="AZ14" s="25"/>
      <x:c r="BA14" s="25"/>
      <x:c r="BB14" s="25"/>
      <x:c r="BC14" s="25"/>
      <x:c r="BD14" s="25"/>
      <x:c r="BE14" s="25"/>
      <x:c r="BF14" s="25"/>
      <x:c r="BG14" s="25"/>
      <x:c r="BH14" s="25"/>
      <x:c r="BI14" s="25"/>
      <x:c r="BJ14" s="25"/>
      <x:c r="BK14" s="25"/>
      <x:c r="BL14" s="25"/>
      <x:c r="BM14" s="25"/>
      <x:c r="BN14" s="25"/>
      <x:c r="BO14" s="25"/>
      <x:c r="BP14" s="25"/>
      <x:c r="BQ14" s="25"/>
      <x:c r="BR14" s="25"/>
      <x:c r="BS14" s="25"/>
      <x:c r="BT14" s="25"/>
      <x:c r="BU14" s="25"/>
      <x:c r="BV14" s="25"/>
      <x:c r="BW14" s="25"/>
      <x:c r="BX14" s="25"/>
      <x:c r="BY14" s="25"/>
      <x:c r="BZ14" s="25"/>
      <x:c r="CA14" s="25"/>
      <x:c r="CB14" s="25"/>
      <x:c r="CC14" s="25"/>
      <x:c r="CD14" s="25"/>
      <x:c r="CE14" s="25"/>
      <x:c r="CF14" s="25"/>
      <x:c r="CG14" s="25"/>
      <x:c r="CH14" s="25"/>
      <x:c r="CI14" s="25"/>
      <x:c r="CJ14" s="25"/>
      <x:c r="CK14" s="25"/>
      <x:c r="CL14" s="25"/>
      <x:c r="CM14" s="25"/>
      <x:c r="CN14" s="25"/>
      <x:c r="CO14" s="25"/>
      <x:c r="CP14" s="25"/>
      <x:c r="CQ14" s="25"/>
      <x:c r="CR14" s="25"/>
      <x:c r="CS14" s="25"/>
      <x:c r="CT14" s="25"/>
      <x:c r="CU14" s="25"/>
      <x:c r="CV14" s="25"/>
      <x:c r="CW14" s="25"/>
      <x:c r="CX14" s="25"/>
      <x:c r="CY14" s="25"/>
      <x:c r="CZ14" s="25"/>
      <x:c r="DA14" s="25"/>
      <x:c r="DB14" s="25"/>
      <x:c r="DC14" s="25"/>
      <x:c r="DD14" s="25"/>
      <x:c r="DE14" s="25"/>
      <x:c r="DF14" s="25"/>
      <x:c r="DG14" s="25"/>
      <x:c r="DH14" s="25"/>
      <x:c r="DI14" s="25"/>
      <x:c r="DJ14" s="25"/>
      <x:c r="DK14" s="25"/>
      <x:c r="DL14" s="25"/>
      <x:c r="DM14" s="25"/>
      <x:c r="DN14" s="25"/>
      <x:c r="DO14" s="25"/>
      <x:c r="DP14" s="25"/>
      <x:c r="DQ14" s="25"/>
      <x:c r="DR14" s="25"/>
      <x:c r="DS14" s="25"/>
      <x:c r="DT14" s="25"/>
      <x:c r="DU14" s="25"/>
      <x:c r="DV14" s="25"/>
      <x:c r="DW14" s="25"/>
      <x:c r="DX14" s="25"/>
    </x:row>
    <x:row r="15" spans="1:128" ht="15.6" x14ac:dyDescent="0.3">
      <x:c r="A15" s="25"/>
      <x:c r="B15" s="264">
        <x:v>5</x:v>
      </x:c>
      <x:c r="C15" s="258" t="inlineStr">
        <x:v/>
        <x:is>
          <x:t xml:space="preserve">Urban</x:t>
        </x:is>
      </x:c>
      <x:c r="D15" s="822" t="inlineStr">
        <x:v/>
        <x:is>
          <x:t xml:space="preserve">Developed land; sealed surface</x:t>
        </x:is>
      </x:c>
      <x:c r="E15" s="823"/>
      <x:c r="F15" s="765" t="inlineStr">
        <x:v/>
        <x:is>
          <x:t xml:space="preserve">Area/compensation not in local strategy/ no local strategy</x:t>
        </x:is>
      </x:c>
      <x:c r="G15" s="766"/>
      <x:c r="H15" s="767"/>
      <x:c r="I15" s="305" t="n">
        <x:v>160.649</x:v>
      </x:c>
      <x:c r="J15" s="306" t="n">
        <x:v>78.9697</x:v>
      </x:c>
      <x:c r="K15" s="307" t="n">
        <x:v>0</x:v>
      </x:c>
      <x:c r="L15" s="301" t="str">
        <x:f t="shared" si="0"/>
        <x:v/>
      </x:c>
      <x:c r="M15" s="301" t="str">
        <x:f t="shared" si="1"/>
        <x:v/>
      </x:c>
      <x:c r="N15" s="356" t="str">
        <x:f t="shared" si="2"/>
        <x:v/>
      </x:c>
      <x:c r="O15" s="68" t="inlineStr">
        <x:v/>
        <x:is>
          <x:t xml:space="preserve"/>
        </x:is>
      </x:c>
      <x:c r="P15" s="3"/>
      <x:c r="Q15" s="25"/>
      <x:c r="R15" s="652"/>
      <x:c r="S15" s="25"/>
      <x:c r="T15" s="661" t="str">
        <x:f>IF(C15="","",VLOOKUP(D15,'9. All Habitats + Multipliers'!$C$4:$K$102,5,FALSE))</x:f>
        <x:v/>
      </x:c>
      <x:c r="U15" s="662"/>
      <x:c r="V15" s="94" t="str">
        <x:f>IF(T15="","",VLOOKUP(T15,'11. Lists'!$B$47:$D$49,2,FALSE))</x:f>
        <x:v/>
      </x:c>
      <x:c r="W15" s="184" t="str">
        <x:f>IF(C15="","",VLOOKUP(D15,'10. Condition and Temporal'!$B$6:$C$103,2,FALSE))</x:f>
        <x:v/>
      </x:c>
      <x:c r="X15" s="94" t="str">
        <x:f>IF(W15="","",VLOOKUP(W15,'11. Lists'!$F$47:$G$51,2,FALSE))</x:f>
        <x:v/>
      </x:c>
      <x:c r="Y15" s="48"/>
      <x:c r="Z15" s="48"/>
      <x:c r="AA15" s="48"/>
      <x:c r="AB15" s="93" t="str">
        <x:f t="shared" si="6"/>
        <x:v/>
      </x:c>
      <x:c r="AC15" s="95" t="str">
        <x:f>IF(AB15="","",VLOOKUP(AB15,'11. Lists'!$F$36:$H$38,2,FALSE))</x:f>
        <x:v/>
      </x:c>
      <x:c r="AD15" s="94" t="str">
        <x:f>IF(AB15="","",VLOOKUP(AB15,'11. Lists'!$F$36:$H$38,3,FALSE))</x:f>
        <x:v/>
      </x:c>
      <x:c r="AE15" s="298" t="str">
        <x:f t="shared" si="3"/>
        <x:v/>
      </x:c>
      <x:c r="AF15" s="299" t="str">
        <x:f t="shared" si="4"/>
        <x:v/>
      </x:c>
      <x:c r="AG15" s="96" t="str">
        <x:f t="shared" si="5"/>
        <x:v/>
      </x:c>
      <x:c r="AH15" s="511" t="str">
        <x:f>IF(T15="","",VLOOKUP(T15,'11. Lists'!$B$47:$D$49,3,FALSE))</x:f>
        <x:v/>
      </x:c>
      <x:c r="AI15" s="545" t="str">
        <x:f>IF(D15="","",VLOOKUP(D15,'10. Condition and Temporal'!$B$6:$L$103,4,FALSE))</x:f>
        <x:v/>
      </x:c>
      <x:c r="AJ15" s="25"/>
      <x:c r="AK15" s="25"/>
      <x:c r="AL15" s="25"/>
      <x:c r="AM15" s="25"/>
      <x:c r="AN15" s="25"/>
      <x:c r="AO15" s="25"/>
      <x:c r="AP15" s="25"/>
      <x:c r="AQ15" s="25"/>
      <x:c r="AR15" s="25"/>
      <x:c r="AS15" s="25"/>
      <x:c r="AT15" s="25"/>
      <x:c r="AU15" s="25"/>
      <x:c r="AV15" s="25"/>
      <x:c r="AW15" s="25"/>
      <x:c r="AX15" s="25"/>
      <x:c r="AY15" s="25"/>
      <x:c r="AZ15" s="25"/>
      <x:c r="BA15" s="25"/>
      <x:c r="BB15" s="25"/>
      <x:c r="BC15" s="25"/>
      <x:c r="BD15" s="25"/>
      <x:c r="BE15" s="25"/>
      <x:c r="BF15" s="25"/>
      <x:c r="BG15" s="25"/>
      <x:c r="BH15" s="25"/>
      <x:c r="BI15" s="25"/>
      <x:c r="BJ15" s="25"/>
      <x:c r="BK15" s="25"/>
      <x:c r="BL15" s="25"/>
      <x:c r="BM15" s="25"/>
      <x:c r="BN15" s="25"/>
      <x:c r="BO15" s="25"/>
      <x:c r="BP15" s="25"/>
      <x:c r="BQ15" s="25"/>
      <x:c r="BR15" s="25"/>
      <x:c r="BS15" s="25"/>
      <x:c r="BT15" s="25"/>
      <x:c r="BU15" s="25"/>
      <x:c r="BV15" s="25"/>
      <x:c r="BW15" s="25"/>
      <x:c r="BX15" s="25"/>
      <x:c r="BY15" s="25"/>
      <x:c r="BZ15" s="25"/>
      <x:c r="CA15" s="25"/>
      <x:c r="CB15" s="25"/>
      <x:c r="CC15" s="25"/>
      <x:c r="CD15" s="25"/>
      <x:c r="CE15" s="25"/>
      <x:c r="CF15" s="25"/>
      <x:c r="CG15" s="25"/>
      <x:c r="CH15" s="25"/>
      <x:c r="CI15" s="25"/>
      <x:c r="CJ15" s="25"/>
      <x:c r="CK15" s="25"/>
      <x:c r="CL15" s="25"/>
      <x:c r="CM15" s="25"/>
      <x:c r="CN15" s="25"/>
      <x:c r="CO15" s="25"/>
      <x:c r="CP15" s="25"/>
      <x:c r="CQ15" s="25"/>
      <x:c r="CR15" s="25"/>
      <x:c r="CS15" s="25"/>
      <x:c r="CT15" s="25"/>
      <x:c r="CU15" s="25"/>
      <x:c r="CV15" s="25"/>
      <x:c r="CW15" s="25"/>
      <x:c r="CX15" s="25"/>
      <x:c r="CY15" s="25"/>
      <x:c r="CZ15" s="25"/>
      <x:c r="DA15" s="25"/>
      <x:c r="DB15" s="25"/>
      <x:c r="DC15" s="25"/>
      <x:c r="DD15" s="25"/>
      <x:c r="DE15" s="25"/>
      <x:c r="DF15" s="25"/>
      <x:c r="DG15" s="25"/>
      <x:c r="DH15" s="25"/>
      <x:c r="DI15" s="25"/>
      <x:c r="DJ15" s="25"/>
      <x:c r="DK15" s="25"/>
      <x:c r="DL15" s="25"/>
      <x:c r="DM15" s="25"/>
      <x:c r="DN15" s="25"/>
      <x:c r="DO15" s="25"/>
      <x:c r="DP15" s="25"/>
      <x:c r="DQ15" s="25"/>
      <x:c r="DR15" s="25"/>
      <x:c r="DS15" s="25"/>
      <x:c r="DT15" s="25"/>
      <x:c r="DU15" s="25"/>
      <x:c r="DV15" s="25"/>
      <x:c r="DW15" s="25"/>
      <x:c r="DX15" s="25"/>
    </x:row>
    <x:row r="16" spans="1:128" ht="15.6" x14ac:dyDescent="0.3">
      <x:c r="A16" s="25"/>
      <x:c r="B16" s="264">
        <x:v>6</x:v>
      </x:c>
      <x:c r="C16" s="258"/>
      <x:c r="D16" s="822"/>
      <x:c r="E16" s="823"/>
      <x:c r="F16" s="765"/>
      <x:c r="G16" s="766"/>
      <x:c r="H16" s="767"/>
      <x:c r="I16" s="305"/>
      <x:c r="J16" s="306"/>
      <x:c r="K16" s="307"/>
      <x:c r="L16" s="301" t="str">
        <x:f t="shared" si="0"/>
        <x:v/>
      </x:c>
      <x:c r="M16" s="301" t="str">
        <x:f t="shared" si="1"/>
        <x:v/>
      </x:c>
      <x:c r="N16" s="356" t="str">
        <x:f t="shared" si="2"/>
        <x:v/>
      </x:c>
      <x:c r="O16" s="68"/>
      <x:c r="P16" s="3"/>
      <x:c r="Q16" s="25"/>
      <x:c r="R16" s="652"/>
      <x:c r="S16" s="25"/>
      <x:c r="T16" s="661" t="str">
        <x:f>IF(C16="","",VLOOKUP(D16,'9. All Habitats + Multipliers'!$C$4:$K$102,5,FALSE))</x:f>
        <x:v/>
      </x:c>
      <x:c r="U16" s="662"/>
      <x:c r="V16" s="94" t="str">
        <x:f>IF(T16="","",VLOOKUP(T16,'11. Lists'!$B$47:$D$49,2,FALSE))</x:f>
        <x:v/>
      </x:c>
      <x:c r="W16" s="184" t="str">
        <x:f>IF(C16="","",VLOOKUP(D16,'10. Condition and Temporal'!$B$6:$C$103,2,FALSE))</x:f>
        <x:v/>
      </x:c>
      <x:c r="X16" s="94" t="str">
        <x:f>IF(W16="","",VLOOKUP(W16,'11. Lists'!$F$47:$G$51,2,FALSE))</x:f>
        <x:v/>
      </x:c>
      <x:c r="Y16" s="48"/>
      <x:c r="Z16" s="48"/>
      <x:c r="AA16" s="48"/>
      <x:c r="AB16" s="93" t="str">
        <x:f t="shared" si="6"/>
        <x:v/>
      </x:c>
      <x:c r="AC16" s="95" t="str">
        <x:f>IF(AB16="","",VLOOKUP(AB16,'11. Lists'!$F$36:$H$38,2,FALSE))</x:f>
        <x:v/>
      </x:c>
      <x:c r="AD16" s="94" t="str">
        <x:f>IF(AB16="","",VLOOKUP(AB16,'11. Lists'!$F$36:$H$38,3,FALSE))</x:f>
        <x:v/>
      </x:c>
      <x:c r="AE16" s="298" t="str">
        <x:f t="shared" si="3"/>
        <x:v/>
      </x:c>
      <x:c r="AF16" s="299" t="str">
        <x:f t="shared" si="4"/>
        <x:v/>
      </x:c>
      <x:c r="AG16" s="96" t="str">
        <x:f t="shared" si="5"/>
        <x:v/>
      </x:c>
      <x:c r="AH16" s="511" t="str">
        <x:f>IF(T16="","",VLOOKUP(T16,'11. Lists'!$B$47:$D$49,3,FALSE))</x:f>
        <x:v/>
      </x:c>
      <x:c r="AI16" s="545" t="str">
        <x:f>IF(D16="","",VLOOKUP(D16,'10. Condition and Temporal'!$B$6:$L$103,4,FALSE))</x:f>
        <x:v/>
      </x:c>
      <x:c r="AJ16" s="25"/>
      <x:c r="AK16" s="25"/>
      <x:c r="AL16" s="25"/>
      <x:c r="AM16" s="25"/>
      <x:c r="AN16" s="25"/>
      <x:c r="AO16" s="25"/>
      <x:c r="AP16" s="25"/>
      <x:c r="AQ16" s="25"/>
      <x:c r="AR16" s="25"/>
      <x:c r="AS16" s="25"/>
      <x:c r="AT16" s="25"/>
      <x:c r="AU16" s="25"/>
      <x:c r="AV16" s="25"/>
      <x:c r="AW16" s="25"/>
      <x:c r="AX16" s="25"/>
      <x:c r="AY16" s="25"/>
      <x:c r="AZ16" s="25"/>
      <x:c r="BA16" s="25"/>
      <x:c r="BB16" s="25"/>
      <x:c r="BC16" s="25"/>
      <x:c r="BD16" s="25"/>
      <x:c r="BE16" s="25"/>
      <x:c r="BF16" s="25"/>
      <x:c r="BG16" s="25"/>
      <x:c r="BH16" s="25"/>
      <x:c r="BI16" s="25"/>
      <x:c r="BJ16" s="25"/>
      <x:c r="BK16" s="25"/>
      <x:c r="BL16" s="25"/>
      <x:c r="BM16" s="25"/>
      <x:c r="BN16" s="25"/>
      <x:c r="BO16" s="25"/>
      <x:c r="BP16" s="25"/>
      <x:c r="BQ16" s="25"/>
      <x:c r="BR16" s="25"/>
      <x:c r="BS16" s="25"/>
      <x:c r="BT16" s="25"/>
      <x:c r="BU16" s="25"/>
      <x:c r="BV16" s="25"/>
      <x:c r="BW16" s="25"/>
      <x:c r="BX16" s="25"/>
      <x:c r="BY16" s="25"/>
      <x:c r="BZ16" s="25"/>
      <x:c r="CA16" s="25"/>
      <x:c r="CB16" s="25"/>
      <x:c r="CC16" s="25"/>
      <x:c r="CD16" s="25"/>
      <x:c r="CE16" s="25"/>
      <x:c r="CF16" s="25"/>
      <x:c r="CG16" s="25"/>
      <x:c r="CH16" s="25"/>
      <x:c r="CI16" s="25"/>
      <x:c r="CJ16" s="25"/>
      <x:c r="CK16" s="25"/>
      <x:c r="CL16" s="25"/>
      <x:c r="CM16" s="25"/>
      <x:c r="CN16" s="25"/>
      <x:c r="CO16" s="25"/>
      <x:c r="CP16" s="25"/>
      <x:c r="CQ16" s="25"/>
      <x:c r="CR16" s="25"/>
      <x:c r="CS16" s="25"/>
      <x:c r="CT16" s="25"/>
      <x:c r="CU16" s="25"/>
      <x:c r="CV16" s="25"/>
      <x:c r="CW16" s="25"/>
      <x:c r="CX16" s="25"/>
      <x:c r="CY16" s="25"/>
      <x:c r="CZ16" s="25"/>
      <x:c r="DA16" s="25"/>
      <x:c r="DB16" s="25"/>
      <x:c r="DC16" s="25"/>
      <x:c r="DD16" s="25"/>
      <x:c r="DE16" s="25"/>
      <x:c r="DF16" s="25"/>
      <x:c r="DG16" s="25"/>
      <x:c r="DH16" s="25"/>
      <x:c r="DI16" s="25"/>
      <x:c r="DJ16" s="25"/>
      <x:c r="DK16" s="25"/>
      <x:c r="DL16" s="25"/>
      <x:c r="DM16" s="25"/>
      <x:c r="DN16" s="25"/>
      <x:c r="DO16" s="25"/>
      <x:c r="DP16" s="25"/>
      <x:c r="DQ16" s="25"/>
      <x:c r="DR16" s="25"/>
      <x:c r="DS16" s="25"/>
      <x:c r="DT16" s="25"/>
      <x:c r="DU16" s="25"/>
      <x:c r="DV16" s="25"/>
      <x:c r="DW16" s="25"/>
      <x:c r="DX16" s="25"/>
    </x:row>
    <x:row r="17" spans="1:128" ht="15.6" x14ac:dyDescent="0.3">
      <x:c r="A17" s="25"/>
      <x:c r="B17" s="264">
        <x:v>7</x:v>
      </x:c>
      <x:c r="C17" s="258"/>
      <x:c r="D17" s="822"/>
      <x:c r="E17" s="823"/>
      <x:c r="F17" s="765"/>
      <x:c r="G17" s="766"/>
      <x:c r="H17" s="767"/>
      <x:c r="I17" s="305"/>
      <x:c r="J17" s="306"/>
      <x:c r="K17" s="307"/>
      <x:c r="L17" s="301" t="str">
        <x:f t="shared" si="0"/>
        <x:v/>
      </x:c>
      <x:c r="M17" s="301" t="str">
        <x:f t="shared" si="1"/>
        <x:v/>
      </x:c>
      <x:c r="N17" s="356" t="str">
        <x:f t="shared" si="2"/>
        <x:v/>
      </x:c>
      <x:c r="O17" s="68"/>
      <x:c r="P17" s="3"/>
      <x:c r="Q17" s="25"/>
      <x:c r="R17" s="652"/>
      <x:c r="S17" s="25"/>
      <x:c r="T17" s="661" t="str">
        <x:f>IF(C17="","",VLOOKUP(D17,'9. All Habitats + Multipliers'!$C$4:$K$102,5,FALSE))</x:f>
        <x:v/>
      </x:c>
      <x:c r="U17" s="662"/>
      <x:c r="V17" s="94" t="str">
        <x:f>IF(T17="","",VLOOKUP(T17,'11. Lists'!$B$47:$D$49,2,FALSE))</x:f>
        <x:v/>
      </x:c>
      <x:c r="W17" s="184" t="str">
        <x:f>IF(C17="","",VLOOKUP(D17,'10. Condition and Temporal'!$B$6:$C$103,2,FALSE))</x:f>
        <x:v/>
      </x:c>
      <x:c r="X17" s="94" t="str">
        <x:f>IF(W17="","",VLOOKUP(W17,'11. Lists'!$F$47:$G$51,2,FALSE))</x:f>
        <x:v/>
      </x:c>
      <x:c r="Y17" s="48"/>
      <x:c r="Z17" s="48"/>
      <x:c r="AA17" s="48"/>
      <x:c r="AB17" s="93" t="str">
        <x:f t="shared" si="6"/>
        <x:v/>
      </x:c>
      <x:c r="AC17" s="95" t="str">
        <x:f>IF(AB17="","",VLOOKUP(AB17,'11. Lists'!$F$36:$H$38,2,FALSE))</x:f>
        <x:v/>
      </x:c>
      <x:c r="AD17" s="94" t="str">
        <x:f>IF(AB17="","",VLOOKUP(AB17,'11. Lists'!$F$36:$H$38,3,FALSE))</x:f>
        <x:v/>
      </x:c>
      <x:c r="AE17" s="298" t="str">
        <x:f t="shared" si="3"/>
        <x:v/>
      </x:c>
      <x:c r="AF17" s="299" t="str">
        <x:f t="shared" si="4"/>
        <x:v/>
      </x:c>
      <x:c r="AG17" s="96" t="str">
        <x:f t="shared" si="5"/>
        <x:v/>
      </x:c>
      <x:c r="AH17" s="511" t="str">
        <x:f>IF(T17="","",VLOOKUP(T17,'11. Lists'!$B$47:$D$49,3,FALSE))</x:f>
        <x:v/>
      </x:c>
      <x:c r="AI17" s="545" t="str">
        <x:f>IF(D17="","",VLOOKUP(D17,'10. Condition and Temporal'!$B$6:$L$103,4,FALSE))</x:f>
        <x:v/>
      </x:c>
      <x:c r="AJ17" s="25"/>
      <x:c r="AK17" s="25"/>
      <x:c r="AL17" s="25"/>
      <x:c r="AM17" s="25"/>
      <x:c r="AN17" s="25"/>
      <x:c r="AO17" s="25"/>
      <x:c r="AP17" s="25"/>
      <x:c r="AQ17" s="25"/>
      <x:c r="AR17" s="25"/>
      <x:c r="AS17" s="25"/>
      <x:c r="AT17" s="25"/>
      <x:c r="AU17" s="25"/>
      <x:c r="AV17" s="25"/>
      <x:c r="AW17" s="25"/>
      <x:c r="AX17" s="25"/>
      <x:c r="AY17" s="25"/>
      <x:c r="AZ17" s="25"/>
      <x:c r="BA17" s="25"/>
      <x:c r="BB17" s="25"/>
      <x:c r="BC17" s="25"/>
      <x:c r="BD17" s="25"/>
      <x:c r="BE17" s="25"/>
      <x:c r="BF17" s="25"/>
      <x:c r="BG17" s="25"/>
      <x:c r="BH17" s="25"/>
      <x:c r="BI17" s="25"/>
      <x:c r="BJ17" s="25"/>
      <x:c r="BK17" s="25"/>
      <x:c r="BL17" s="25"/>
      <x:c r="BM17" s="25"/>
      <x:c r="BN17" s="25"/>
      <x:c r="BO17" s="25"/>
      <x:c r="BP17" s="25"/>
      <x:c r="BQ17" s="25"/>
      <x:c r="BR17" s="25"/>
      <x:c r="BS17" s="25"/>
      <x:c r="BT17" s="25"/>
      <x:c r="BU17" s="25"/>
      <x:c r="BV17" s="25"/>
      <x:c r="BW17" s="25"/>
      <x:c r="BX17" s="25"/>
      <x:c r="BY17" s="25"/>
      <x:c r="BZ17" s="25"/>
      <x:c r="CA17" s="25"/>
      <x:c r="CB17" s="25"/>
      <x:c r="CC17" s="25"/>
      <x:c r="CD17" s="25"/>
      <x:c r="CE17" s="25"/>
      <x:c r="CF17" s="25"/>
      <x:c r="CG17" s="25"/>
      <x:c r="CH17" s="25"/>
      <x:c r="CI17" s="25"/>
      <x:c r="CJ17" s="25"/>
      <x:c r="CK17" s="25"/>
      <x:c r="CL17" s="25"/>
      <x:c r="CM17" s="25"/>
      <x:c r="CN17" s="25"/>
      <x:c r="CO17" s="25"/>
      <x:c r="CP17" s="25"/>
      <x:c r="CQ17" s="25"/>
      <x:c r="CR17" s="25"/>
      <x:c r="CS17" s="25"/>
      <x:c r="CT17" s="25"/>
      <x:c r="CU17" s="25"/>
      <x:c r="CV17" s="25"/>
      <x:c r="CW17" s="25"/>
      <x:c r="CX17" s="25"/>
      <x:c r="CY17" s="25"/>
      <x:c r="CZ17" s="25"/>
      <x:c r="DA17" s="25"/>
      <x:c r="DB17" s="25"/>
      <x:c r="DC17" s="25"/>
      <x:c r="DD17" s="25"/>
      <x:c r="DE17" s="25"/>
      <x:c r="DF17" s="25"/>
      <x:c r="DG17" s="25"/>
      <x:c r="DH17" s="25"/>
      <x:c r="DI17" s="25"/>
      <x:c r="DJ17" s="25"/>
      <x:c r="DK17" s="25"/>
      <x:c r="DL17" s="25"/>
      <x:c r="DM17" s="25"/>
      <x:c r="DN17" s="25"/>
      <x:c r="DO17" s="25"/>
      <x:c r="DP17" s="25"/>
      <x:c r="DQ17" s="25"/>
      <x:c r="DR17" s="25"/>
      <x:c r="DS17" s="25"/>
      <x:c r="DT17" s="25"/>
      <x:c r="DU17" s="25"/>
      <x:c r="DV17" s="25"/>
      <x:c r="DW17" s="25"/>
      <x:c r="DX17" s="25"/>
    </x:row>
    <x:row r="18" spans="1:128" ht="15.6" x14ac:dyDescent="0.3">
      <x:c r="A18" s="25"/>
      <x:c r="B18" s="264">
        <x:v>8</x:v>
      </x:c>
      <x:c r="C18" s="258"/>
      <x:c r="D18" s="822"/>
      <x:c r="E18" s="823"/>
      <x:c r="F18" s="765"/>
      <x:c r="G18" s="766"/>
      <x:c r="H18" s="767"/>
      <x:c r="I18" s="305"/>
      <x:c r="J18" s="306"/>
      <x:c r="K18" s="307"/>
      <x:c r="L18" s="301" t="str">
        <x:f t="shared" si="0"/>
        <x:v/>
      </x:c>
      <x:c r="M18" s="301" t="str">
        <x:f t="shared" si="1"/>
        <x:v/>
      </x:c>
      <x:c r="N18" s="356" t="str">
        <x:f t="shared" si="2"/>
        <x:v/>
      </x:c>
      <x:c r="O18" s="68"/>
      <x:c r="P18" s="3"/>
      <x:c r="Q18" s="25"/>
      <x:c r="R18" s="652"/>
      <x:c r="S18" s="25"/>
      <x:c r="T18" s="661" t="str">
        <x:f>IF(C18="","",VLOOKUP(D18,'9. All Habitats + Multipliers'!$C$4:$K$102,5,FALSE))</x:f>
        <x:v/>
      </x:c>
      <x:c r="U18" s="662"/>
      <x:c r="V18" s="94" t="str">
        <x:f>IF(T18="","",VLOOKUP(T18,'11. Lists'!$B$47:$D$49,2,FALSE))</x:f>
        <x:v/>
      </x:c>
      <x:c r="W18" s="184" t="str">
        <x:f>IF(C18="","",VLOOKUP(D18,'10. Condition and Temporal'!$B$6:$C$103,2,FALSE))</x:f>
        <x:v/>
      </x:c>
      <x:c r="X18" s="94" t="str">
        <x:f>IF(W18="","",VLOOKUP(W18,'11. Lists'!$F$47:$G$51,2,FALSE))</x:f>
        <x:v/>
      </x:c>
      <x:c r="Y18" s="48"/>
      <x:c r="Z18" s="48"/>
      <x:c r="AA18" s="48"/>
      <x:c r="AB18" s="93" t="str">
        <x:f t="shared" si="6"/>
        <x:v/>
      </x:c>
      <x:c r="AC18" s="95" t="str">
        <x:f>IF(AB18="","",VLOOKUP(AB18,'11. Lists'!$F$36:$H$38,2,FALSE))</x:f>
        <x:v/>
      </x:c>
      <x:c r="AD18" s="94" t="str">
        <x:f>IF(AB18="","",VLOOKUP(AB18,'11. Lists'!$F$36:$H$38,3,FALSE))</x:f>
        <x:v/>
      </x:c>
      <x:c r="AE18" s="298" t="str">
        <x:f t="shared" si="3"/>
        <x:v/>
      </x:c>
      <x:c r="AF18" s="299" t="str">
        <x:f t="shared" si="4"/>
        <x:v/>
      </x:c>
      <x:c r="AG18" s="96" t="str">
        <x:f t="shared" si="5"/>
        <x:v/>
      </x:c>
      <x:c r="AH18" s="511" t="str">
        <x:f>IF(T18="","",VLOOKUP(T18,'11. Lists'!$B$47:$D$49,3,FALSE))</x:f>
        <x:v/>
      </x:c>
      <x:c r="AI18" s="545" t="str">
        <x:f>IF(D18="","",VLOOKUP(D18,'10. Condition and Temporal'!$B$6:$L$103,4,FALSE))</x:f>
        <x:v/>
      </x:c>
      <x:c r="AJ18" s="25"/>
      <x:c r="AK18" s="25"/>
      <x:c r="AL18" s="25"/>
      <x:c r="AM18" s="25"/>
      <x:c r="AN18" s="25"/>
      <x:c r="AO18" s="25"/>
      <x:c r="AP18" s="25"/>
      <x:c r="AQ18" s="25"/>
      <x:c r="AR18" s="25"/>
      <x:c r="AS18" s="25"/>
      <x:c r="AT18" s="25"/>
      <x:c r="AU18" s="25"/>
      <x:c r="AV18" s="25"/>
      <x:c r="AW18" s="25"/>
      <x:c r="AX18" s="25"/>
      <x:c r="AY18" s="25"/>
      <x:c r="AZ18" s="25"/>
      <x:c r="BA18" s="25"/>
      <x:c r="BB18" s="25"/>
      <x:c r="BC18" s="25"/>
      <x:c r="BD18" s="25"/>
      <x:c r="BE18" s="25"/>
      <x:c r="BF18" s="25"/>
      <x:c r="BG18" s="25"/>
      <x:c r="BH18" s="25"/>
      <x:c r="BI18" s="25"/>
      <x:c r="BJ18" s="25"/>
      <x:c r="BK18" s="25"/>
      <x:c r="BL18" s="25"/>
      <x:c r="BM18" s="25"/>
      <x:c r="BN18" s="25"/>
      <x:c r="BO18" s="25"/>
      <x:c r="BP18" s="25"/>
      <x:c r="BQ18" s="25"/>
      <x:c r="BR18" s="25"/>
      <x:c r="BS18" s="25"/>
      <x:c r="BT18" s="25"/>
      <x:c r="BU18" s="25"/>
      <x:c r="BV18" s="25"/>
      <x:c r="BW18" s="25"/>
      <x:c r="BX18" s="25"/>
      <x:c r="BY18" s="25"/>
      <x:c r="BZ18" s="25"/>
      <x:c r="CA18" s="25"/>
      <x:c r="CB18" s="25"/>
      <x:c r="CC18" s="25"/>
      <x:c r="CD18" s="25"/>
      <x:c r="CE18" s="25"/>
      <x:c r="CF18" s="25"/>
      <x:c r="CG18" s="25"/>
      <x:c r="CH18" s="25"/>
      <x:c r="CI18" s="25"/>
      <x:c r="CJ18" s="25"/>
      <x:c r="CK18" s="25"/>
      <x:c r="CL18" s="25"/>
      <x:c r="CM18" s="25"/>
      <x:c r="CN18" s="25"/>
      <x:c r="CO18" s="25"/>
      <x:c r="CP18" s="25"/>
      <x:c r="CQ18" s="25"/>
      <x:c r="CR18" s="25"/>
      <x:c r="CS18" s="25"/>
      <x:c r="CT18" s="25"/>
      <x:c r="CU18" s="25"/>
      <x:c r="CV18" s="25"/>
      <x:c r="CW18" s="25"/>
      <x:c r="CX18" s="25"/>
      <x:c r="CY18" s="25"/>
      <x:c r="CZ18" s="25"/>
      <x:c r="DA18" s="25"/>
      <x:c r="DB18" s="25"/>
      <x:c r="DC18" s="25"/>
      <x:c r="DD18" s="25"/>
      <x:c r="DE18" s="25"/>
      <x:c r="DF18" s="25"/>
      <x:c r="DG18" s="25"/>
      <x:c r="DH18" s="25"/>
      <x:c r="DI18" s="25"/>
      <x:c r="DJ18" s="25"/>
      <x:c r="DK18" s="25"/>
      <x:c r="DL18" s="25"/>
      <x:c r="DM18" s="25"/>
      <x:c r="DN18" s="25"/>
      <x:c r="DO18" s="25"/>
      <x:c r="DP18" s="25"/>
      <x:c r="DQ18" s="25"/>
      <x:c r="DR18" s="25"/>
      <x:c r="DS18" s="25"/>
      <x:c r="DT18" s="25"/>
      <x:c r="DU18" s="25"/>
      <x:c r="DV18" s="25"/>
      <x:c r="DW18" s="25"/>
      <x:c r="DX18" s="25"/>
    </x:row>
    <x:row r="19" spans="1:128" ht="15.6" x14ac:dyDescent="0.3">
      <x:c r="A19" s="25"/>
      <x:c r="B19" s="264">
        <x:v>9</x:v>
      </x:c>
      <x:c r="C19" s="258"/>
      <x:c r="D19" s="822"/>
      <x:c r="E19" s="823"/>
      <x:c r="F19" s="765"/>
      <x:c r="G19" s="766"/>
      <x:c r="H19" s="767"/>
      <x:c r="I19" s="305"/>
      <x:c r="J19" s="306"/>
      <x:c r="K19" s="307"/>
      <x:c r="L19" s="301" t="str">
        <x:f t="shared" si="0"/>
        <x:v/>
      </x:c>
      <x:c r="M19" s="301" t="str">
        <x:f t="shared" si="1"/>
        <x:v/>
      </x:c>
      <x:c r="N19" s="356" t="str">
        <x:f t="shared" si="2"/>
        <x:v/>
      </x:c>
      <x:c r="O19" s="68"/>
      <x:c r="P19" s="3"/>
      <x:c r="Q19" s="25"/>
      <x:c r="R19" s="652"/>
      <x:c r="S19" s="25"/>
      <x:c r="T19" s="661" t="str">
        <x:f>IF(C19="","",VLOOKUP(D19,'9. All Habitats + Multipliers'!$C$4:$K$102,5,FALSE))</x:f>
        <x:v/>
      </x:c>
      <x:c r="U19" s="662"/>
      <x:c r="V19" s="94" t="str">
        <x:f>IF(T19="","",VLOOKUP(T19,'11. Lists'!$B$47:$D$49,2,FALSE))</x:f>
        <x:v/>
      </x:c>
      <x:c r="W19" s="184" t="str">
        <x:f>IF(C19="","",VLOOKUP(D19,'10. Condition and Temporal'!$B$6:$C$103,2,FALSE))</x:f>
        <x:v/>
      </x:c>
      <x:c r="X19" s="94" t="str">
        <x:f>IF(W19="","",VLOOKUP(W19,'11. Lists'!$F$47:$G$51,2,FALSE))</x:f>
        <x:v/>
      </x:c>
      <x:c r="Y19" s="48"/>
      <x:c r="Z19" s="48"/>
      <x:c r="AA19" s="48"/>
      <x:c r="AB19" s="93" t="str">
        <x:f t="shared" si="6"/>
        <x:v/>
      </x:c>
      <x:c r="AC19" s="95" t="str">
        <x:f>IF(AB19="","",VLOOKUP(AB19,'11. Lists'!$F$36:$H$38,2,FALSE))</x:f>
        <x:v/>
      </x:c>
      <x:c r="AD19" s="94" t="str">
        <x:f>IF(AB19="","",VLOOKUP(AB19,'11. Lists'!$F$36:$H$38,3,FALSE))</x:f>
        <x:v/>
      </x:c>
      <x:c r="AE19" s="298" t="str">
        <x:f t="shared" si="3"/>
        <x:v/>
      </x:c>
      <x:c r="AF19" s="299" t="str">
        <x:f t="shared" si="4"/>
        <x:v/>
      </x:c>
      <x:c r="AG19" s="96" t="str">
        <x:f t="shared" si="5"/>
        <x:v/>
      </x:c>
      <x:c r="AH19" s="511" t="str">
        <x:f>IF(T19="","",VLOOKUP(T19,'11. Lists'!$B$47:$D$49,3,FALSE))</x:f>
        <x:v/>
      </x:c>
      <x:c r="AI19" s="545" t="str">
        <x:f>IF(D19="","",VLOOKUP(D19,'10. Condition and Temporal'!$B$6:$L$103,4,FALSE))</x:f>
        <x:v/>
      </x:c>
      <x:c r="AJ19" s="25"/>
      <x:c r="AK19" s="25"/>
      <x:c r="AL19" s="25"/>
      <x:c r="AM19" s="25"/>
      <x:c r="AN19" s="25"/>
      <x:c r="AO19" s="25"/>
      <x:c r="AP19" s="25"/>
      <x:c r="AQ19" s="25"/>
      <x:c r="AR19" s="25"/>
      <x:c r="AS19" s="25"/>
      <x:c r="AT19" s="25"/>
      <x:c r="AU19" s="25"/>
      <x:c r="AV19" s="25"/>
      <x:c r="AW19" s="25"/>
      <x:c r="AX19" s="25"/>
      <x:c r="AY19" s="25"/>
      <x:c r="AZ19" s="25"/>
      <x:c r="BA19" s="25"/>
      <x:c r="BB19" s="25"/>
      <x:c r="BC19" s="25"/>
      <x:c r="BD19" s="25"/>
      <x:c r="BE19" s="25"/>
      <x:c r="BF19" s="25"/>
      <x:c r="BG19" s="25"/>
      <x:c r="BH19" s="25"/>
      <x:c r="BI19" s="25"/>
      <x:c r="BJ19" s="25"/>
      <x:c r="BK19" s="25"/>
      <x:c r="BL19" s="25"/>
      <x:c r="BM19" s="25"/>
      <x:c r="BN19" s="25"/>
      <x:c r="BO19" s="25"/>
      <x:c r="BP19" s="25"/>
      <x:c r="BQ19" s="25"/>
      <x:c r="BR19" s="25"/>
      <x:c r="BS19" s="25"/>
      <x:c r="BT19" s="25"/>
      <x:c r="BU19" s="25"/>
      <x:c r="BV19" s="25"/>
      <x:c r="BW19" s="25"/>
      <x:c r="BX19" s="25"/>
      <x:c r="BY19" s="25"/>
      <x:c r="BZ19" s="25"/>
      <x:c r="CA19" s="25"/>
      <x:c r="CB19" s="25"/>
      <x:c r="CC19" s="25"/>
      <x:c r="CD19" s="25"/>
      <x:c r="CE19" s="25"/>
      <x:c r="CF19" s="25"/>
      <x:c r="CG19" s="25"/>
      <x:c r="CH19" s="25"/>
      <x:c r="CI19" s="25"/>
      <x:c r="CJ19" s="25"/>
      <x:c r="CK19" s="25"/>
      <x:c r="CL19" s="25"/>
      <x:c r="CM19" s="25"/>
      <x:c r="CN19" s="25"/>
      <x:c r="CO19" s="25"/>
      <x:c r="CP19" s="25"/>
      <x:c r="CQ19" s="25"/>
      <x:c r="CR19" s="25"/>
      <x:c r="CS19" s="25"/>
      <x:c r="CT19" s="25"/>
      <x:c r="CU19" s="25"/>
      <x:c r="CV19" s="25"/>
      <x:c r="CW19" s="25"/>
      <x:c r="CX19" s="25"/>
      <x:c r="CY19" s="25"/>
      <x:c r="CZ19" s="25"/>
      <x:c r="DA19" s="25"/>
      <x:c r="DB19" s="25"/>
      <x:c r="DC19" s="25"/>
      <x:c r="DD19" s="25"/>
      <x:c r="DE19" s="25"/>
      <x:c r="DF19" s="25"/>
      <x:c r="DG19" s="25"/>
      <x:c r="DH19" s="25"/>
      <x:c r="DI19" s="25"/>
      <x:c r="DJ19" s="25"/>
      <x:c r="DK19" s="25"/>
      <x:c r="DL19" s="25"/>
      <x:c r="DM19" s="25"/>
      <x:c r="DN19" s="25"/>
      <x:c r="DO19" s="25"/>
      <x:c r="DP19" s="25"/>
      <x:c r="DQ19" s="25"/>
      <x:c r="DR19" s="25"/>
      <x:c r="DS19" s="25"/>
      <x:c r="DT19" s="25"/>
      <x:c r="DU19" s="25"/>
      <x:c r="DV19" s="25"/>
      <x:c r="DW19" s="25"/>
      <x:c r="DX19" s="25"/>
    </x:row>
    <x:row r="20" spans="1:128" ht="15.6" x14ac:dyDescent="0.3">
      <x:c r="A20" s="25"/>
      <x:c r="B20" s="264">
        <x:v>10</x:v>
      </x:c>
      <x:c r="C20" s="258"/>
      <x:c r="D20" s="822"/>
      <x:c r="E20" s="823"/>
      <x:c r="F20" s="765"/>
      <x:c r="G20" s="766"/>
      <x:c r="H20" s="767"/>
      <x:c r="I20" s="305"/>
      <x:c r="J20" s="306"/>
      <x:c r="K20" s="307"/>
      <x:c r="L20" s="301" t="str">
        <x:f t="shared" si="0"/>
        <x:v/>
      </x:c>
      <x:c r="M20" s="301" t="str">
        <x:f t="shared" si="1"/>
        <x:v/>
      </x:c>
      <x:c r="N20" s="356" t="str">
        <x:f t="shared" si="2"/>
        <x:v/>
      </x:c>
      <x:c r="O20" s="69"/>
      <x:c r="P20" s="8"/>
      <x:c r="Q20" s="25"/>
      <x:c r="R20" s="652"/>
      <x:c r="S20" s="25"/>
      <x:c r="T20" s="661" t="str">
        <x:f>IF(C20="","",VLOOKUP(D20,'9. All Habitats + Multipliers'!$C$4:$K$102,5,FALSE))</x:f>
        <x:v/>
      </x:c>
      <x:c r="U20" s="662"/>
      <x:c r="V20" s="94" t="str">
        <x:f>IF(T20="","",VLOOKUP(T20,'11. Lists'!$B$47:$D$49,2,FALSE))</x:f>
        <x:v/>
      </x:c>
      <x:c r="W20" s="184" t="str">
        <x:f>IF(C20="","",VLOOKUP(D20,'10. Condition and Temporal'!$B$6:$C$103,2,FALSE))</x:f>
        <x:v/>
      </x:c>
      <x:c r="X20" s="94" t="str">
        <x:f>IF(W20="","",VLOOKUP(W20,'11. Lists'!$F$47:$G$51,2,FALSE))</x:f>
        <x:v/>
      </x:c>
      <x:c r="Y20" s="48"/>
      <x:c r="Z20" s="48"/>
      <x:c r="AA20" s="48"/>
      <x:c r="AB20" s="93" t="str">
        <x:f t="shared" si="6"/>
        <x:v/>
      </x:c>
      <x:c r="AC20" s="95" t="str">
        <x:f>IF(AB20="","",VLOOKUP(AB20,'11. Lists'!$F$36:$H$38,2,FALSE))</x:f>
        <x:v/>
      </x:c>
      <x:c r="AD20" s="94" t="str">
        <x:f>IF(AB20="","",VLOOKUP(AB20,'11. Lists'!$F$36:$H$38,3,FALSE))</x:f>
        <x:v/>
      </x:c>
      <x:c r="AE20" s="298" t="str">
        <x:f t="shared" si="3"/>
        <x:v/>
      </x:c>
      <x:c r="AF20" s="299" t="str">
        <x:f t="shared" si="4"/>
        <x:v/>
      </x:c>
      <x:c r="AG20" s="96" t="str">
        <x:f t="shared" si="5"/>
        <x:v/>
      </x:c>
      <x:c r="AH20" s="511" t="str">
        <x:f>IF(T20="","",VLOOKUP(T20,'11. Lists'!$B$47:$D$49,3,FALSE))</x:f>
        <x:v/>
      </x:c>
      <x:c r="AI20" s="545" t="str">
        <x:f>IF(D20="","",VLOOKUP(D20,'10. Condition and Temporal'!$B$6:$L$103,4,FALSE))</x:f>
        <x:v/>
      </x:c>
      <x:c r="AJ20" s="25"/>
      <x:c r="AK20" s="25"/>
      <x:c r="AL20" s="25"/>
      <x:c r="AM20" s="25"/>
      <x:c r="AN20" s="25"/>
      <x:c r="AO20" s="25"/>
      <x:c r="AP20" s="25"/>
      <x:c r="AQ20" s="25"/>
      <x:c r="AR20" s="25"/>
      <x:c r="AS20" s="25"/>
      <x:c r="AT20" s="25"/>
      <x:c r="AU20" s="25"/>
      <x:c r="AV20" s="25"/>
      <x:c r="AW20" s="25"/>
      <x:c r="AX20" s="25"/>
      <x:c r="AY20" s="25"/>
      <x:c r="AZ20" s="25"/>
      <x:c r="BA20" s="25"/>
      <x:c r="BB20" s="25"/>
      <x:c r="BC20" s="25"/>
      <x:c r="BD20" s="25"/>
      <x:c r="BE20" s="25"/>
      <x:c r="BF20" s="25"/>
      <x:c r="BG20" s="25"/>
      <x:c r="BH20" s="25"/>
      <x:c r="BI20" s="25"/>
      <x:c r="BJ20" s="25"/>
      <x:c r="BK20" s="25"/>
      <x:c r="BL20" s="25"/>
      <x:c r="BM20" s="25"/>
      <x:c r="BN20" s="25"/>
      <x:c r="BO20" s="25"/>
      <x:c r="BP20" s="25"/>
      <x:c r="BQ20" s="25"/>
      <x:c r="BR20" s="25"/>
      <x:c r="BS20" s="25"/>
      <x:c r="BT20" s="25"/>
      <x:c r="BU20" s="25"/>
      <x:c r="BV20" s="25"/>
      <x:c r="BW20" s="25"/>
      <x:c r="BX20" s="25"/>
      <x:c r="BY20" s="25"/>
      <x:c r="BZ20" s="25"/>
      <x:c r="CA20" s="25"/>
      <x:c r="CB20" s="25"/>
      <x:c r="CC20" s="25"/>
      <x:c r="CD20" s="25"/>
      <x:c r="CE20" s="25"/>
      <x:c r="CF20" s="25"/>
      <x:c r="CG20" s="25"/>
      <x:c r="CH20" s="25"/>
      <x:c r="CI20" s="25"/>
      <x:c r="CJ20" s="25"/>
      <x:c r="CK20" s="25"/>
      <x:c r="CL20" s="25"/>
      <x:c r="CM20" s="25"/>
      <x:c r="CN20" s="25"/>
      <x:c r="CO20" s="25"/>
      <x:c r="CP20" s="25"/>
      <x:c r="CQ20" s="25"/>
      <x:c r="CR20" s="25"/>
      <x:c r="CS20" s="25"/>
      <x:c r="CT20" s="25"/>
      <x:c r="CU20" s="25"/>
      <x:c r="CV20" s="25"/>
      <x:c r="CW20" s="25"/>
      <x:c r="CX20" s="25"/>
      <x:c r="CY20" s="25"/>
      <x:c r="CZ20" s="25"/>
      <x:c r="DA20" s="25"/>
      <x:c r="DB20" s="25"/>
      <x:c r="DC20" s="25"/>
      <x:c r="DD20" s="25"/>
      <x:c r="DE20" s="25"/>
      <x:c r="DF20" s="25"/>
      <x:c r="DG20" s="25"/>
      <x:c r="DH20" s="25"/>
      <x:c r="DI20" s="25"/>
      <x:c r="DJ20" s="25"/>
      <x:c r="DK20" s="25"/>
      <x:c r="DL20" s="25"/>
      <x:c r="DM20" s="25"/>
      <x:c r="DN20" s="25"/>
      <x:c r="DO20" s="25"/>
      <x:c r="DP20" s="25"/>
      <x:c r="DQ20" s="25"/>
      <x:c r="DR20" s="25"/>
      <x:c r="DS20" s="25"/>
      <x:c r="DT20" s="25"/>
      <x:c r="DU20" s="25"/>
      <x:c r="DV20" s="25"/>
      <x:c r="DW20" s="25"/>
      <x:c r="DX20" s="25"/>
    </x:row>
    <x:row r="21" spans="1:128" ht="15.6" x14ac:dyDescent="0.3">
      <x:c r="A21" s="25"/>
      <x:c r="B21" s="264">
        <x:v>11</x:v>
      </x:c>
      <x:c r="C21" s="258"/>
      <x:c r="D21" s="822"/>
      <x:c r="E21" s="823"/>
      <x:c r="F21" s="765"/>
      <x:c r="G21" s="766"/>
      <x:c r="H21" s="767"/>
      <x:c r="I21" s="305"/>
      <x:c r="J21" s="306"/>
      <x:c r="K21" s="307"/>
      <x:c r="L21" s="301" t="str">
        <x:f t="shared" si="0"/>
        <x:v/>
      </x:c>
      <x:c r="M21" s="301" t="str">
        <x:f t="shared" si="1"/>
        <x:v/>
      </x:c>
      <x:c r="N21" s="356" t="str">
        <x:f t="shared" si="2"/>
        <x:v/>
      </x:c>
      <x:c r="O21" s="69"/>
      <x:c r="P21" s="8"/>
      <x:c r="Q21" s="25"/>
      <x:c r="R21" s="652"/>
      <x:c r="S21" s="25"/>
      <x:c r="T21" s="661" t="str">
        <x:f>IF(C21="","",VLOOKUP(D21,'9. All Habitats + Multipliers'!$C$4:$K$102,5,FALSE))</x:f>
        <x:v/>
      </x:c>
      <x:c r="U21" s="662"/>
      <x:c r="V21" s="94" t="str">
        <x:f>IF(T21="","",VLOOKUP(T21,'11. Lists'!$B$47:$D$49,2,FALSE))</x:f>
        <x:v/>
      </x:c>
      <x:c r="W21" s="184" t="str">
        <x:f>IF(C21="","",VLOOKUP(D21,'10. Condition and Temporal'!$B$6:$C$103,2,FALSE))</x:f>
        <x:v/>
      </x:c>
      <x:c r="X21" s="94" t="str">
        <x:f>IF(W21="","",VLOOKUP(W21,'11. Lists'!$F$47:$G$51,2,FALSE))</x:f>
        <x:v/>
      </x:c>
      <x:c r="Y21" s="48"/>
      <x:c r="Z21" s="48"/>
      <x:c r="AA21" s="48"/>
      <x:c r="AB21" s="93" t="str">
        <x:f t="shared" si="6"/>
        <x:v/>
      </x:c>
      <x:c r="AC21" s="95" t="str">
        <x:f>IF(AB21="","",VLOOKUP(AB21,'11. Lists'!$F$36:$H$38,2,FALSE))</x:f>
        <x:v/>
      </x:c>
      <x:c r="AD21" s="94" t="str">
        <x:f>IF(AB21="","",VLOOKUP(AB21,'11. Lists'!$F$36:$H$38,3,FALSE))</x:f>
        <x:v/>
      </x:c>
      <x:c r="AE21" s="298" t="str">
        <x:f t="shared" si="3"/>
        <x:v/>
      </x:c>
      <x:c r="AF21" s="299" t="str">
        <x:f t="shared" si="4"/>
        <x:v/>
      </x:c>
      <x:c r="AG21" s="96" t="str">
        <x:f t="shared" si="5"/>
        <x:v/>
      </x:c>
      <x:c r="AH21" s="511" t="str">
        <x:f>IF(T21="","",VLOOKUP(T21,'11. Lists'!$B$47:$D$49,3,FALSE))</x:f>
        <x:v/>
      </x:c>
      <x:c r="AI21" s="545" t="str">
        <x:f>IF(D21="","",VLOOKUP(D21,'10. Condition and Temporal'!$B$6:$L$103,4,FALSE))</x:f>
        <x:v/>
      </x:c>
      <x:c r="AJ21" s="25"/>
      <x:c r="AK21" s="25"/>
      <x:c r="AL21" s="25"/>
      <x:c r="AM21" s="25"/>
      <x:c r="AN21" s="25"/>
      <x:c r="AO21" s="25"/>
      <x:c r="AP21" s="25"/>
      <x:c r="AQ21" s="25"/>
      <x:c r="AR21" s="25"/>
      <x:c r="AS21" s="25"/>
      <x:c r="AT21" s="25"/>
      <x:c r="AU21" s="25"/>
      <x:c r="AV21" s="25"/>
      <x:c r="AW21" s="25"/>
      <x:c r="AX21" s="25"/>
      <x:c r="AY21" s="25"/>
      <x:c r="AZ21" s="25"/>
      <x:c r="BA21" s="25"/>
      <x:c r="BB21" s="25"/>
      <x:c r="BC21" s="25"/>
      <x:c r="BD21" s="25"/>
      <x:c r="BE21" s="25"/>
      <x:c r="BF21" s="25"/>
      <x:c r="BG21" s="25"/>
      <x:c r="BH21" s="25"/>
      <x:c r="BI21" s="25"/>
      <x:c r="BJ21" s="25"/>
      <x:c r="BK21" s="25"/>
      <x:c r="BL21" s="25"/>
      <x:c r="BM21" s="25"/>
      <x:c r="BN21" s="25"/>
      <x:c r="BO21" s="25"/>
      <x:c r="BP21" s="25"/>
      <x:c r="BQ21" s="25"/>
      <x:c r="BR21" s="25"/>
      <x:c r="BS21" s="25"/>
      <x:c r="BT21" s="25"/>
      <x:c r="BU21" s="25"/>
      <x:c r="BV21" s="25"/>
      <x:c r="BW21" s="25"/>
      <x:c r="BX21" s="25"/>
      <x:c r="BY21" s="25"/>
      <x:c r="BZ21" s="25"/>
      <x:c r="CA21" s="25"/>
      <x:c r="CB21" s="25"/>
      <x:c r="CC21" s="25"/>
      <x:c r="CD21" s="25"/>
      <x:c r="CE21" s="25"/>
      <x:c r="CF21" s="25"/>
      <x:c r="CG21" s="25"/>
      <x:c r="CH21" s="25"/>
      <x:c r="CI21" s="25"/>
      <x:c r="CJ21" s="25"/>
      <x:c r="CK21" s="25"/>
      <x:c r="CL21" s="25"/>
      <x:c r="CM21" s="25"/>
      <x:c r="CN21" s="25"/>
      <x:c r="CO21" s="25"/>
      <x:c r="CP21" s="25"/>
      <x:c r="CQ21" s="25"/>
      <x:c r="CR21" s="25"/>
      <x:c r="CS21" s="25"/>
      <x:c r="CT21" s="25"/>
      <x:c r="CU21" s="25"/>
      <x:c r="CV21" s="25"/>
      <x:c r="CW21" s="25"/>
      <x:c r="CX21" s="25"/>
      <x:c r="CY21" s="25"/>
      <x:c r="CZ21" s="25"/>
      <x:c r="DA21" s="25"/>
      <x:c r="DB21" s="25"/>
      <x:c r="DC21" s="25"/>
      <x:c r="DD21" s="25"/>
      <x:c r="DE21" s="25"/>
      <x:c r="DF21" s="25"/>
      <x:c r="DG21" s="25"/>
      <x:c r="DH21" s="25"/>
      <x:c r="DI21" s="25"/>
      <x:c r="DJ21" s="25"/>
      <x:c r="DK21" s="25"/>
      <x:c r="DL21" s="25"/>
      <x:c r="DM21" s="25"/>
      <x:c r="DN21" s="25"/>
      <x:c r="DO21" s="25"/>
      <x:c r="DP21" s="25"/>
      <x:c r="DQ21" s="25"/>
      <x:c r="DR21" s="25"/>
      <x:c r="DS21" s="25"/>
      <x:c r="DT21" s="25"/>
      <x:c r="DU21" s="25"/>
      <x:c r="DV21" s="25"/>
      <x:c r="DW21" s="25"/>
      <x:c r="DX21" s="25"/>
    </x:row>
    <x:row r="22" spans="1:128" ht="15.6" x14ac:dyDescent="0.3">
      <x:c r="A22" s="25"/>
      <x:c r="B22" s="264">
        <x:v>12</x:v>
      </x:c>
      <x:c r="C22" s="258"/>
      <x:c r="D22" s="822"/>
      <x:c r="E22" s="823"/>
      <x:c r="F22" s="765"/>
      <x:c r="G22" s="766"/>
      <x:c r="H22" s="767"/>
      <x:c r="I22" s="305"/>
      <x:c r="J22" s="306"/>
      <x:c r="K22" s="307"/>
      <x:c r="L22" s="301" t="str">
        <x:f t="shared" si="0"/>
        <x:v/>
      </x:c>
      <x:c r="M22" s="301" t="str">
        <x:f t="shared" si="1"/>
        <x:v/>
      </x:c>
      <x:c r="N22" s="356" t="str">
        <x:f t="shared" si="2"/>
        <x:v/>
      </x:c>
      <x:c r="O22" s="69"/>
      <x:c r="P22" s="8"/>
      <x:c r="Q22" s="25"/>
      <x:c r="R22" s="652"/>
      <x:c r="S22" s="25"/>
      <x:c r="T22" s="661" t="str">
        <x:f>IF(C22="","",VLOOKUP(D22,'9. All Habitats + Multipliers'!$C$4:$K$102,5,FALSE))</x:f>
        <x:v/>
      </x:c>
      <x:c r="U22" s="662"/>
      <x:c r="V22" s="94" t="str">
        <x:f>IF(T22="","",VLOOKUP(T22,'11. Lists'!$B$47:$D$49,2,FALSE))</x:f>
        <x:v/>
      </x:c>
      <x:c r="W22" s="184" t="str">
        <x:f>IF(C22="","",VLOOKUP(D22,'10. Condition and Temporal'!$B$6:$C$103,2,FALSE))</x:f>
        <x:v/>
      </x:c>
      <x:c r="X22" s="94" t="str">
        <x:f>IF(W22="","",VLOOKUP(W22,'11. Lists'!$F$47:$G$51,2,FALSE))</x:f>
        <x:v/>
      </x:c>
      <x:c r="Y22" s="48"/>
      <x:c r="Z22" s="48"/>
      <x:c r="AA22" s="48"/>
      <x:c r="AB22" s="93" t="str">
        <x:f t="shared" si="6"/>
        <x:v/>
      </x:c>
      <x:c r="AC22" s="95" t="str">
        <x:f>IF(AB22="","",VLOOKUP(AB22,'11. Lists'!$F$36:$H$38,2,FALSE))</x:f>
        <x:v/>
      </x:c>
      <x:c r="AD22" s="94" t="str">
        <x:f>IF(AB22="","",VLOOKUP(AB22,'11. Lists'!$F$36:$H$38,3,FALSE))</x:f>
        <x:v/>
      </x:c>
      <x:c r="AE22" s="298" t="str">
        <x:f t="shared" si="3"/>
        <x:v/>
      </x:c>
      <x:c r="AF22" s="299" t="str">
        <x:f t="shared" si="4"/>
        <x:v/>
      </x:c>
      <x:c r="AG22" s="96" t="str">
        <x:f t="shared" si="5"/>
        <x:v/>
      </x:c>
      <x:c r="AH22" s="511" t="str">
        <x:f>IF(T22="","",VLOOKUP(T22,'11. Lists'!$B$47:$D$49,3,FALSE))</x:f>
        <x:v/>
      </x:c>
      <x:c r="AI22" s="545" t="str">
        <x:f>IF(D22="","",VLOOKUP(D22,'10. Condition and Temporal'!$B$6:$L$103,4,FALSE))</x:f>
        <x:v/>
      </x:c>
      <x:c r="AJ22" s="25"/>
      <x:c r="AK22" s="25"/>
      <x:c r="AL22" s="25"/>
      <x:c r="AM22" s="25"/>
      <x:c r="AN22" s="25"/>
      <x:c r="AO22" s="25"/>
      <x:c r="AP22" s="25"/>
      <x:c r="AQ22" s="25"/>
      <x:c r="AR22" s="25"/>
      <x:c r="AS22" s="25"/>
      <x:c r="AT22" s="25"/>
      <x:c r="AU22" s="25"/>
      <x:c r="AV22" s="25"/>
      <x:c r="AW22" s="25"/>
      <x:c r="AX22" s="25"/>
      <x:c r="AY22" s="25"/>
      <x:c r="AZ22" s="25"/>
      <x:c r="BA22" s="25"/>
      <x:c r="BB22" s="25"/>
      <x:c r="BC22" s="25"/>
      <x:c r="BD22" s="25"/>
      <x:c r="BE22" s="25"/>
      <x:c r="BF22" s="25"/>
      <x:c r="BG22" s="25"/>
      <x:c r="BH22" s="25"/>
      <x:c r="BI22" s="25"/>
      <x:c r="BJ22" s="25"/>
      <x:c r="BK22" s="25"/>
      <x:c r="BL22" s="25"/>
      <x:c r="BM22" s="25"/>
      <x:c r="BN22" s="25"/>
      <x:c r="BO22" s="25"/>
      <x:c r="BP22" s="25"/>
      <x:c r="BQ22" s="25"/>
      <x:c r="BR22" s="25"/>
      <x:c r="BS22" s="25"/>
      <x:c r="BT22" s="25"/>
      <x:c r="BU22" s="25"/>
      <x:c r="BV22" s="25"/>
      <x:c r="BW22" s="25"/>
      <x:c r="BX22" s="25"/>
      <x:c r="BY22" s="25"/>
      <x:c r="BZ22" s="25"/>
      <x:c r="CA22" s="25"/>
      <x:c r="CB22" s="25"/>
      <x:c r="CC22" s="25"/>
      <x:c r="CD22" s="25"/>
      <x:c r="CE22" s="25"/>
      <x:c r="CF22" s="25"/>
      <x:c r="CG22" s="25"/>
      <x:c r="CH22" s="25"/>
      <x:c r="CI22" s="25"/>
      <x:c r="CJ22" s="25"/>
      <x:c r="CK22" s="25"/>
      <x:c r="CL22" s="25"/>
      <x:c r="CM22" s="25"/>
      <x:c r="CN22" s="25"/>
      <x:c r="CO22" s="25"/>
      <x:c r="CP22" s="25"/>
      <x:c r="CQ22" s="25"/>
      <x:c r="CR22" s="25"/>
      <x:c r="CS22" s="25"/>
      <x:c r="CT22" s="25"/>
      <x:c r="CU22" s="25"/>
      <x:c r="CV22" s="25"/>
      <x:c r="CW22" s="25"/>
      <x:c r="CX22" s="25"/>
      <x:c r="CY22" s="25"/>
      <x:c r="CZ22" s="25"/>
      <x:c r="DA22" s="25"/>
      <x:c r="DB22" s="25"/>
      <x:c r="DC22" s="25"/>
      <x:c r="DD22" s="25"/>
      <x:c r="DE22" s="25"/>
      <x:c r="DF22" s="25"/>
      <x:c r="DG22" s="25"/>
      <x:c r="DH22" s="25"/>
      <x:c r="DI22" s="25"/>
      <x:c r="DJ22" s="25"/>
      <x:c r="DK22" s="25"/>
      <x:c r="DL22" s="25"/>
      <x:c r="DM22" s="25"/>
      <x:c r="DN22" s="25"/>
      <x:c r="DO22" s="25"/>
      <x:c r="DP22" s="25"/>
      <x:c r="DQ22" s="25"/>
      <x:c r="DR22" s="25"/>
      <x:c r="DS22" s="25"/>
      <x:c r="DT22" s="25"/>
      <x:c r="DU22" s="25"/>
      <x:c r="DV22" s="25"/>
      <x:c r="DW22" s="25"/>
      <x:c r="DX22" s="25"/>
    </x:row>
    <x:row r="23" spans="1:128" ht="15.6" x14ac:dyDescent="0.3">
      <x:c r="A23" s="25"/>
      <x:c r="B23" s="264">
        <x:v>13</x:v>
      </x:c>
      <x:c r="C23" s="259"/>
      <x:c r="D23" s="822"/>
      <x:c r="E23" s="823"/>
      <x:c r="F23" s="765"/>
      <x:c r="G23" s="766"/>
      <x:c r="H23" s="767"/>
      <x:c r="I23" s="305"/>
      <x:c r="J23" s="306"/>
      <x:c r="K23" s="307"/>
      <x:c r="L23" s="301" t="str">
        <x:f t="shared" si="0"/>
        <x:v/>
      </x:c>
      <x:c r="M23" s="301" t="str">
        <x:f t="shared" si="1"/>
        <x:v/>
      </x:c>
      <x:c r="N23" s="356" t="str">
        <x:f t="shared" si="2"/>
        <x:v/>
      </x:c>
      <x:c r="O23" s="69"/>
      <x:c r="P23" s="8"/>
      <x:c r="Q23" s="25"/>
      <x:c r="R23" s="652"/>
      <x:c r="S23" s="25"/>
      <x:c r="T23" s="661" t="str">
        <x:f>IF(C23="","",VLOOKUP(D23,'9. All Habitats + Multipliers'!$C$4:$K$102,5,FALSE))</x:f>
        <x:v/>
      </x:c>
      <x:c r="U23" s="662"/>
      <x:c r="V23" s="94" t="str">
        <x:f>IF(T23="","",VLOOKUP(T23,'11. Lists'!$B$47:$D$49,2,FALSE))</x:f>
        <x:v/>
      </x:c>
      <x:c r="W23" s="184" t="str">
        <x:f>IF(C23="","",VLOOKUP(D23,'10. Condition and Temporal'!$B$6:$C$103,2,FALSE))</x:f>
        <x:v/>
      </x:c>
      <x:c r="X23" s="94" t="str">
        <x:f>IF(W23="","",VLOOKUP(W23,'11. Lists'!$F$47:$G$51,2,FALSE))</x:f>
        <x:v/>
      </x:c>
      <x:c r="Y23" s="48"/>
      <x:c r="Z23" s="48"/>
      <x:c r="AA23" s="48"/>
      <x:c r="AB23" s="93" t="str">
        <x:f t="shared" si="6"/>
        <x:v/>
      </x:c>
      <x:c r="AC23" s="95" t="str">
        <x:f>IF(AB23="","",VLOOKUP(AB23,'11. Lists'!$F$36:$H$38,2,FALSE))</x:f>
        <x:v/>
      </x:c>
      <x:c r="AD23" s="94" t="str">
        <x:f>IF(AB23="","",VLOOKUP(AB23,'11. Lists'!$F$36:$H$38,3,FALSE))</x:f>
        <x:v/>
      </x:c>
      <x:c r="AE23" s="298" t="str">
        <x:f t="shared" si="3"/>
        <x:v/>
      </x:c>
      <x:c r="AF23" s="299" t="str">
        <x:f t="shared" si="4"/>
        <x:v/>
      </x:c>
      <x:c r="AG23" s="96" t="str">
        <x:f t="shared" si="5"/>
        <x:v/>
      </x:c>
      <x:c r="AH23" s="511" t="str">
        <x:f>IF(T23="","",VLOOKUP(T23,'11. Lists'!$B$47:$D$49,3,FALSE))</x:f>
        <x:v/>
      </x:c>
      <x:c r="AI23" s="545" t="str">
        <x:f>IF(D23="","",VLOOKUP(D23,'10. Condition and Temporal'!$B$6:$L$103,4,FALSE))</x:f>
        <x:v/>
      </x:c>
      <x:c r="AJ23" s="25"/>
      <x:c r="AK23" s="25"/>
      <x:c r="AL23" s="25"/>
      <x:c r="AM23" s="25"/>
      <x:c r="AN23" s="25"/>
      <x:c r="AO23" s="25"/>
      <x:c r="AP23" s="25"/>
      <x:c r="AQ23" s="25"/>
      <x:c r="AR23" s="25"/>
      <x:c r="AS23" s="25"/>
      <x:c r="AT23" s="25"/>
      <x:c r="AU23" s="25"/>
      <x:c r="AV23" s="25"/>
      <x:c r="AW23" s="25"/>
      <x:c r="AX23" s="25"/>
      <x:c r="AY23" s="25"/>
      <x:c r="AZ23" s="25"/>
      <x:c r="BA23" s="25"/>
      <x:c r="BB23" s="25"/>
      <x:c r="BC23" s="25"/>
      <x:c r="BD23" s="25"/>
      <x:c r="BE23" s="25"/>
      <x:c r="BF23" s="25"/>
      <x:c r="BG23" s="25"/>
      <x:c r="BH23" s="25"/>
      <x:c r="BI23" s="25"/>
      <x:c r="BJ23" s="25"/>
      <x:c r="BK23" s="25"/>
      <x:c r="BL23" s="25"/>
      <x:c r="BM23" s="25"/>
      <x:c r="BN23" s="25"/>
      <x:c r="BO23" s="25"/>
      <x:c r="BP23" s="25"/>
      <x:c r="BQ23" s="25"/>
      <x:c r="BR23" s="25"/>
      <x:c r="BS23" s="25"/>
      <x:c r="BT23" s="25"/>
      <x:c r="BU23" s="25"/>
      <x:c r="BV23" s="25"/>
      <x:c r="BW23" s="25"/>
      <x:c r="BX23" s="25"/>
      <x:c r="BY23" s="25"/>
      <x:c r="BZ23" s="25"/>
      <x:c r="CA23" s="25"/>
      <x:c r="CB23" s="25"/>
      <x:c r="CC23" s="25"/>
      <x:c r="CD23" s="25"/>
      <x:c r="CE23" s="25"/>
      <x:c r="CF23" s="25"/>
      <x:c r="CG23" s="25"/>
      <x:c r="CH23" s="25"/>
      <x:c r="CI23" s="25"/>
      <x:c r="CJ23" s="25"/>
      <x:c r="CK23" s="25"/>
      <x:c r="CL23" s="25"/>
      <x:c r="CM23" s="25"/>
      <x:c r="CN23" s="25"/>
      <x:c r="CO23" s="25"/>
      <x:c r="CP23" s="25"/>
      <x:c r="CQ23" s="25"/>
      <x:c r="CR23" s="25"/>
      <x:c r="CS23" s="25"/>
      <x:c r="CT23" s="25"/>
      <x:c r="CU23" s="25"/>
      <x:c r="CV23" s="25"/>
      <x:c r="CW23" s="25"/>
      <x:c r="CX23" s="25"/>
      <x:c r="CY23" s="25"/>
      <x:c r="CZ23" s="25"/>
      <x:c r="DA23" s="25"/>
      <x:c r="DB23" s="25"/>
      <x:c r="DC23" s="25"/>
      <x:c r="DD23" s="25"/>
      <x:c r="DE23" s="25"/>
      <x:c r="DF23" s="25"/>
      <x:c r="DG23" s="25"/>
      <x:c r="DH23" s="25"/>
      <x:c r="DI23" s="25"/>
      <x:c r="DJ23" s="25"/>
      <x:c r="DK23" s="25"/>
      <x:c r="DL23" s="25"/>
      <x:c r="DM23" s="25"/>
      <x:c r="DN23" s="25"/>
      <x:c r="DO23" s="25"/>
      <x:c r="DP23" s="25"/>
      <x:c r="DQ23" s="25"/>
      <x:c r="DR23" s="25"/>
      <x:c r="DS23" s="25"/>
      <x:c r="DT23" s="25"/>
      <x:c r="DU23" s="25"/>
      <x:c r="DV23" s="25"/>
      <x:c r="DW23" s="25"/>
      <x:c r="DX23" s="25"/>
    </x:row>
    <x:row r="24" spans="1:128" ht="15.6" x14ac:dyDescent="0.3">
      <x:c r="A24" s="25"/>
      <x:c r="B24" s="264">
        <x:v>14</x:v>
      </x:c>
      <x:c r="C24" s="259"/>
      <x:c r="D24" s="822"/>
      <x:c r="E24" s="823"/>
      <x:c r="F24" s="765"/>
      <x:c r="G24" s="766"/>
      <x:c r="H24" s="767"/>
      <x:c r="I24" s="305"/>
      <x:c r="J24" s="306"/>
      <x:c r="K24" s="307"/>
      <x:c r="L24" s="301" t="str">
        <x:f t="shared" si="0"/>
        <x:v/>
      </x:c>
      <x:c r="M24" s="301" t="str">
        <x:f t="shared" si="1"/>
        <x:v/>
      </x:c>
      <x:c r="N24" s="356" t="str">
        <x:f t="shared" si="2"/>
        <x:v/>
      </x:c>
      <x:c r="O24" s="69"/>
      <x:c r="P24" s="8"/>
      <x:c r="Q24" s="25"/>
      <x:c r="R24" s="652"/>
      <x:c r="S24" s="25"/>
      <x:c r="T24" s="661" t="str">
        <x:f>IF(C24="","",VLOOKUP(D24,'9. All Habitats + Multipliers'!$C$4:$K$102,5,FALSE))</x:f>
        <x:v/>
      </x:c>
      <x:c r="U24" s="662"/>
      <x:c r="V24" s="94" t="str">
        <x:f>IF(T24="","",VLOOKUP(T24,'11. Lists'!$B$47:$D$49,2,FALSE))</x:f>
        <x:v/>
      </x:c>
      <x:c r="W24" s="184" t="str">
        <x:f>IF(C24="","",VLOOKUP(D24,'10. Condition and Temporal'!$B$6:$C$103,2,FALSE))</x:f>
        <x:v/>
      </x:c>
      <x:c r="X24" s="94" t="str">
        <x:f>IF(W24="","",VLOOKUP(W24,'11. Lists'!$F$47:$G$51,2,FALSE))</x:f>
        <x:v/>
      </x:c>
      <x:c r="Y24" s="48"/>
      <x:c r="Z24" s="48"/>
      <x:c r="AA24" s="48"/>
      <x:c r="AB24" s="93" t="str">
        <x:f t="shared" si="6"/>
        <x:v/>
      </x:c>
      <x:c r="AC24" s="95" t="str">
        <x:f>IF(AB24="","",VLOOKUP(AB24,'11. Lists'!$F$36:$H$38,2,FALSE))</x:f>
        <x:v/>
      </x:c>
      <x:c r="AD24" s="94" t="str">
        <x:f>IF(AB24="","",VLOOKUP(AB24,'11. Lists'!$F$36:$H$38,3,FALSE))</x:f>
        <x:v/>
      </x:c>
      <x:c r="AE24" s="298" t="str">
        <x:f t="shared" si="3"/>
        <x:v/>
      </x:c>
      <x:c r="AF24" s="299" t="str">
        <x:f t="shared" si="4"/>
        <x:v/>
      </x:c>
      <x:c r="AG24" s="96" t="str">
        <x:f t="shared" si="5"/>
        <x:v/>
      </x:c>
      <x:c r="AH24" s="511" t="str">
        <x:f>IF(T24="","",VLOOKUP(T24,'11. Lists'!$B$47:$D$49,3,FALSE))</x:f>
        <x:v/>
      </x:c>
      <x:c r="AI24" s="545" t="str">
        <x:f>IF(D24="","",VLOOKUP(D24,'10. Condition and Temporal'!$B$6:$L$103,4,FALSE))</x:f>
        <x:v/>
      </x:c>
      <x:c r="AJ24" s="25"/>
      <x:c r="AK24" s="25"/>
      <x:c r="AL24" s="25"/>
      <x:c r="AM24" s="25"/>
      <x:c r="AN24" s="25"/>
      <x:c r="AO24" s="25"/>
      <x:c r="AP24" s="25"/>
      <x:c r="AQ24" s="25"/>
      <x:c r="AR24" s="25"/>
      <x:c r="AS24" s="25"/>
      <x:c r="AT24" s="25"/>
      <x:c r="AU24" s="25"/>
      <x:c r="AV24" s="25"/>
      <x:c r="AW24" s="25"/>
      <x:c r="AX24" s="25"/>
      <x:c r="AY24" s="25"/>
      <x:c r="AZ24" s="25"/>
      <x:c r="BA24" s="25"/>
      <x:c r="BB24" s="25"/>
      <x:c r="BC24" s="25"/>
      <x:c r="BD24" s="25"/>
      <x:c r="BE24" s="25"/>
      <x:c r="BF24" s="25"/>
      <x:c r="BG24" s="25"/>
      <x:c r="BH24" s="25"/>
      <x:c r="BI24" s="25"/>
      <x:c r="BJ24" s="25"/>
      <x:c r="BK24" s="25"/>
      <x:c r="BL24" s="25"/>
      <x:c r="BM24" s="25"/>
      <x:c r="BN24" s="25"/>
      <x:c r="BO24" s="25"/>
      <x:c r="BP24" s="25"/>
      <x:c r="BQ24" s="25"/>
      <x:c r="BR24" s="25"/>
      <x:c r="BS24" s="25"/>
      <x:c r="BT24" s="25"/>
      <x:c r="BU24" s="25"/>
      <x:c r="BV24" s="25"/>
      <x:c r="BW24" s="25"/>
      <x:c r="BX24" s="25"/>
      <x:c r="BY24" s="25"/>
      <x:c r="BZ24" s="25"/>
      <x:c r="CA24" s="25"/>
      <x:c r="CB24" s="25"/>
      <x:c r="CC24" s="25"/>
      <x:c r="CD24" s="25"/>
      <x:c r="CE24" s="25"/>
      <x:c r="CF24" s="25"/>
      <x:c r="CG24" s="25"/>
      <x:c r="CH24" s="25"/>
      <x:c r="CI24" s="25"/>
      <x:c r="CJ24" s="25"/>
      <x:c r="CK24" s="25"/>
      <x:c r="CL24" s="25"/>
      <x:c r="CM24" s="25"/>
      <x:c r="CN24" s="25"/>
      <x:c r="CO24" s="25"/>
      <x:c r="CP24" s="25"/>
      <x:c r="CQ24" s="25"/>
      <x:c r="CR24" s="25"/>
      <x:c r="CS24" s="25"/>
      <x:c r="CT24" s="25"/>
      <x:c r="CU24" s="25"/>
      <x:c r="CV24" s="25"/>
      <x:c r="CW24" s="25"/>
      <x:c r="CX24" s="25"/>
      <x:c r="CY24" s="25"/>
      <x:c r="CZ24" s="25"/>
      <x:c r="DA24" s="25"/>
      <x:c r="DB24" s="25"/>
      <x:c r="DC24" s="25"/>
      <x:c r="DD24" s="25"/>
      <x:c r="DE24" s="25"/>
      <x:c r="DF24" s="25"/>
      <x:c r="DG24" s="25"/>
      <x:c r="DH24" s="25"/>
      <x:c r="DI24" s="25"/>
      <x:c r="DJ24" s="25"/>
      <x:c r="DK24" s="25"/>
      <x:c r="DL24" s="25"/>
      <x:c r="DM24" s="25"/>
      <x:c r="DN24" s="25"/>
      <x:c r="DO24" s="25"/>
      <x:c r="DP24" s="25"/>
      <x:c r="DQ24" s="25"/>
      <x:c r="DR24" s="25"/>
      <x:c r="DS24" s="25"/>
      <x:c r="DT24" s="25"/>
      <x:c r="DU24" s="25"/>
      <x:c r="DV24" s="25"/>
      <x:c r="DW24" s="25"/>
      <x:c r="DX24" s="25"/>
    </x:row>
    <x:row r="25" spans="1:128" ht="15.6" x14ac:dyDescent="0.3">
      <x:c r="A25" s="25"/>
      <x:c r="B25" s="264">
        <x:v>15</x:v>
      </x:c>
      <x:c r="C25" s="259"/>
      <x:c r="D25" s="822"/>
      <x:c r="E25" s="823"/>
      <x:c r="F25" s="765"/>
      <x:c r="G25" s="766"/>
      <x:c r="H25" s="767"/>
      <x:c r="I25" s="305"/>
      <x:c r="J25" s="306"/>
      <x:c r="K25" s="307"/>
      <x:c r="L25" s="301" t="str">
        <x:f t="shared" si="0"/>
        <x:v/>
      </x:c>
      <x:c r="M25" s="301" t="str">
        <x:f t="shared" si="1"/>
        <x:v/>
      </x:c>
      <x:c r="N25" s="356" t="str">
        <x:f t="shared" si="2"/>
        <x:v/>
      </x:c>
      <x:c r="O25" s="69"/>
      <x:c r="P25" s="8"/>
      <x:c r="Q25" s="25"/>
      <x:c r="R25" s="652"/>
      <x:c r="S25" s="25"/>
      <x:c r="T25" s="661" t="str">
        <x:f>IF(C25="","",VLOOKUP(D25,'9. All Habitats + Multipliers'!$C$4:$K$102,5,FALSE))</x:f>
        <x:v/>
      </x:c>
      <x:c r="U25" s="662"/>
      <x:c r="V25" s="94" t="str">
        <x:f>IF(T25="","",VLOOKUP(T25,'11. Lists'!$B$47:$D$49,2,FALSE))</x:f>
        <x:v/>
      </x:c>
      <x:c r="W25" s="184" t="str">
        <x:f>IF(C25="","",VLOOKUP(D25,'10. Condition and Temporal'!$B$6:$C$103,2,FALSE))</x:f>
        <x:v/>
      </x:c>
      <x:c r="X25" s="94" t="str">
        <x:f>IF(W25="","",VLOOKUP(W25,'11. Lists'!$F$47:$G$51,2,FALSE))</x:f>
        <x:v/>
      </x:c>
      <x:c r="Y25" s="48"/>
      <x:c r="Z25" s="48"/>
      <x:c r="AA25" s="48"/>
      <x:c r="AB25" s="93" t="str">
        <x:f t="shared" si="6"/>
        <x:v/>
      </x:c>
      <x:c r="AC25" s="95" t="str">
        <x:f>IF(AB25="","",VLOOKUP(AB25,'11. Lists'!$F$36:$H$38,2,FALSE))</x:f>
        <x:v/>
      </x:c>
      <x:c r="AD25" s="94" t="str">
        <x:f>IF(AB25="","",VLOOKUP(AB25,'11. Lists'!$F$36:$H$38,3,FALSE))</x:f>
        <x:v/>
      </x:c>
      <x:c r="AE25" s="298" t="str">
        <x:f t="shared" si="3"/>
        <x:v/>
      </x:c>
      <x:c r="AF25" s="299" t="str">
        <x:f t="shared" si="4"/>
        <x:v/>
      </x:c>
      <x:c r="AG25" s="96" t="str">
        <x:f t="shared" si="5"/>
        <x:v/>
      </x:c>
      <x:c r="AH25" s="511" t="str">
        <x:f>IF(T25="","",VLOOKUP(T25,'11. Lists'!$B$47:$D$49,3,FALSE))</x:f>
        <x:v/>
      </x:c>
      <x:c r="AI25" s="545" t="str">
        <x:f>IF(D25="","",VLOOKUP(D25,'10. Condition and Temporal'!$B$6:$L$103,4,FALSE))</x:f>
        <x:v/>
      </x:c>
      <x:c r="AJ25" s="25"/>
      <x:c r="AK25" s="25"/>
      <x:c r="AL25" s="25"/>
      <x:c r="AM25" s="25"/>
      <x:c r="AN25" s="25"/>
      <x:c r="AO25" s="25"/>
      <x:c r="AP25" s="25"/>
      <x:c r="AQ25" s="25"/>
      <x:c r="AR25" s="25"/>
      <x:c r="AS25" s="25"/>
      <x:c r="AT25" s="25"/>
      <x:c r="AU25" s="25"/>
      <x:c r="AV25" s="25"/>
      <x:c r="AW25" s="25"/>
      <x:c r="AX25" s="25"/>
      <x:c r="AY25" s="25"/>
      <x:c r="AZ25" s="25"/>
      <x:c r="BA25" s="25"/>
      <x:c r="BB25" s="25"/>
      <x:c r="BC25" s="25"/>
      <x:c r="BD25" s="25"/>
      <x:c r="BE25" s="25"/>
      <x:c r="BF25" s="25"/>
      <x:c r="BG25" s="25"/>
      <x:c r="BH25" s="25"/>
      <x:c r="BI25" s="25"/>
      <x:c r="BJ25" s="25"/>
      <x:c r="BK25" s="25"/>
      <x:c r="BL25" s="25"/>
      <x:c r="BM25" s="25"/>
      <x:c r="BN25" s="25"/>
      <x:c r="BO25" s="25"/>
      <x:c r="BP25" s="25"/>
      <x:c r="BQ25" s="25"/>
      <x:c r="BR25" s="25"/>
      <x:c r="BS25" s="25"/>
      <x:c r="BT25" s="25"/>
      <x:c r="BU25" s="25"/>
      <x:c r="BV25" s="25"/>
      <x:c r="BW25" s="25"/>
      <x:c r="BX25" s="25"/>
      <x:c r="BY25" s="25"/>
      <x:c r="BZ25" s="25"/>
      <x:c r="CA25" s="25"/>
      <x:c r="CB25" s="25"/>
      <x:c r="CC25" s="25"/>
      <x:c r="CD25" s="25"/>
      <x:c r="CE25" s="25"/>
      <x:c r="CF25" s="25"/>
      <x:c r="CG25" s="25"/>
      <x:c r="CH25" s="25"/>
      <x:c r="CI25" s="25"/>
      <x:c r="CJ25" s="25"/>
      <x:c r="CK25" s="25"/>
      <x:c r="CL25" s="25"/>
      <x:c r="CM25" s="25"/>
      <x:c r="CN25" s="25"/>
      <x:c r="CO25" s="25"/>
      <x:c r="CP25" s="25"/>
      <x:c r="CQ25" s="25"/>
      <x:c r="CR25" s="25"/>
      <x:c r="CS25" s="25"/>
      <x:c r="CT25" s="25"/>
      <x:c r="CU25" s="25"/>
      <x:c r="CV25" s="25"/>
      <x:c r="CW25" s="25"/>
      <x:c r="CX25" s="25"/>
      <x:c r="CY25" s="25"/>
      <x:c r="CZ25" s="25"/>
      <x:c r="DA25" s="25"/>
      <x:c r="DB25" s="25"/>
      <x:c r="DC25" s="25"/>
      <x:c r="DD25" s="25"/>
      <x:c r="DE25" s="25"/>
      <x:c r="DF25" s="25"/>
      <x:c r="DG25" s="25"/>
      <x:c r="DH25" s="25"/>
      <x:c r="DI25" s="25"/>
      <x:c r="DJ25" s="25"/>
      <x:c r="DK25" s="25"/>
      <x:c r="DL25" s="25"/>
      <x:c r="DM25" s="25"/>
      <x:c r="DN25" s="25"/>
      <x:c r="DO25" s="25"/>
      <x:c r="DP25" s="25"/>
      <x:c r="DQ25" s="25"/>
      <x:c r="DR25" s="25"/>
      <x:c r="DS25" s="25"/>
      <x:c r="DT25" s="25"/>
      <x:c r="DU25" s="25"/>
      <x:c r="DV25" s="25"/>
      <x:c r="DW25" s="25"/>
      <x:c r="DX25" s="25"/>
    </x:row>
    <x:row r="26" spans="1:128" ht="15.6" x14ac:dyDescent="0.3">
      <x:c r="A26" s="25"/>
      <x:c r="B26" s="264">
        <x:v>16</x:v>
      </x:c>
      <x:c r="C26" s="259"/>
      <x:c r="D26" s="822"/>
      <x:c r="E26" s="823"/>
      <x:c r="F26" s="765"/>
      <x:c r="G26" s="766"/>
      <x:c r="H26" s="767"/>
      <x:c r="I26" s="305"/>
      <x:c r="J26" s="306"/>
      <x:c r="K26" s="307"/>
      <x:c r="L26" s="301" t="str">
        <x:f t="shared" si="0"/>
        <x:v/>
      </x:c>
      <x:c r="M26" s="301" t="str">
        <x:f t="shared" si="1"/>
        <x:v/>
      </x:c>
      <x:c r="N26" s="356" t="str">
        <x:f t="shared" si="2"/>
        <x:v/>
      </x:c>
      <x:c r="O26" s="69"/>
      <x:c r="P26" s="8"/>
      <x:c r="Q26" s="25"/>
      <x:c r="R26" s="652"/>
      <x:c r="S26" s="25"/>
      <x:c r="T26" s="661" t="str">
        <x:f>IF(C26="","",VLOOKUP(D26,'9. All Habitats + Multipliers'!$C$4:$K$102,5,FALSE))</x:f>
        <x:v/>
      </x:c>
      <x:c r="U26" s="662"/>
      <x:c r="V26" s="94" t="str">
        <x:f>IF(T26="","",VLOOKUP(T26,'11. Lists'!$B$47:$D$49,2,FALSE))</x:f>
        <x:v/>
      </x:c>
      <x:c r="W26" s="184" t="str">
        <x:f>IF(C26="","",VLOOKUP(D26,'10. Condition and Temporal'!$B$6:$C$103,2,FALSE))</x:f>
        <x:v/>
      </x:c>
      <x:c r="X26" s="94" t="str">
        <x:f>IF(W26="","",VLOOKUP(W26,'11. Lists'!$F$47:$G$51,2,FALSE))</x:f>
        <x:v/>
      </x:c>
      <x:c r="Y26" s="48"/>
      <x:c r="Z26" s="48"/>
      <x:c r="AA26" s="48"/>
      <x:c r="AB26" s="93" t="str">
        <x:f t="shared" si="6"/>
        <x:v/>
      </x:c>
      <x:c r="AC26" s="95" t="str">
        <x:f>IF(AB26="","",VLOOKUP(AB26,'11. Lists'!$F$36:$H$38,2,FALSE))</x:f>
        <x:v/>
      </x:c>
      <x:c r="AD26" s="94" t="str">
        <x:f>IF(AB26="","",VLOOKUP(AB26,'11. Lists'!$F$36:$H$38,3,FALSE))</x:f>
        <x:v/>
      </x:c>
      <x:c r="AE26" s="298" t="str">
        <x:f t="shared" si="3"/>
        <x:v/>
      </x:c>
      <x:c r="AF26" s="299" t="str">
        <x:f t="shared" si="4"/>
        <x:v/>
      </x:c>
      <x:c r="AG26" s="96" t="str">
        <x:f t="shared" si="5"/>
        <x:v/>
      </x:c>
      <x:c r="AH26" s="511" t="str">
        <x:f>IF(T26="","",VLOOKUP(T26,'11. Lists'!$B$47:$D$49,3,FALSE))</x:f>
        <x:v/>
      </x:c>
      <x:c r="AI26" s="545" t="str">
        <x:f>IF(D26="","",VLOOKUP(D26,'10. Condition and Temporal'!$B$6:$L$103,4,FALSE))</x:f>
        <x:v/>
      </x:c>
      <x:c r="AJ26" s="25"/>
      <x:c r="AK26" s="25"/>
      <x:c r="AL26" s="25"/>
      <x:c r="AM26" s="25"/>
      <x:c r="AN26" s="25"/>
      <x:c r="AO26" s="25"/>
      <x:c r="AP26" s="25"/>
      <x:c r="AQ26" s="25"/>
      <x:c r="AR26" s="25"/>
      <x:c r="AS26" s="25"/>
      <x:c r="AT26" s="25"/>
      <x:c r="AU26" s="25"/>
      <x:c r="AV26" s="25"/>
      <x:c r="AW26" s="25"/>
      <x:c r="AX26" s="25"/>
      <x:c r="AY26" s="25"/>
      <x:c r="AZ26" s="25"/>
      <x:c r="BA26" s="25"/>
      <x:c r="BB26" s="25"/>
      <x:c r="BC26" s="25"/>
      <x:c r="BD26" s="25"/>
      <x:c r="BE26" s="25"/>
      <x:c r="BF26" s="25"/>
      <x:c r="BG26" s="25"/>
      <x:c r="BH26" s="25"/>
      <x:c r="BI26" s="25"/>
      <x:c r="BJ26" s="25"/>
      <x:c r="BK26" s="25"/>
      <x:c r="BL26" s="25"/>
      <x:c r="BM26" s="25"/>
      <x:c r="BN26" s="25"/>
      <x:c r="BO26" s="25"/>
      <x:c r="BP26" s="25"/>
      <x:c r="BQ26" s="25"/>
      <x:c r="BR26" s="25"/>
      <x:c r="BS26" s="25"/>
      <x:c r="BT26" s="25"/>
      <x:c r="BU26" s="25"/>
      <x:c r="BV26" s="25"/>
      <x:c r="BW26" s="25"/>
      <x:c r="BX26" s="25"/>
      <x:c r="BY26" s="25"/>
      <x:c r="BZ26" s="25"/>
      <x:c r="CA26" s="25"/>
      <x:c r="CB26" s="25"/>
      <x:c r="CC26" s="25"/>
      <x:c r="CD26" s="25"/>
      <x:c r="CE26" s="25"/>
      <x:c r="CF26" s="25"/>
      <x:c r="CG26" s="25"/>
      <x:c r="CH26" s="25"/>
      <x:c r="CI26" s="25"/>
      <x:c r="CJ26" s="25"/>
      <x:c r="CK26" s="25"/>
      <x:c r="CL26" s="25"/>
      <x:c r="CM26" s="25"/>
      <x:c r="CN26" s="25"/>
      <x:c r="CO26" s="25"/>
      <x:c r="CP26" s="25"/>
      <x:c r="CQ26" s="25"/>
      <x:c r="CR26" s="25"/>
      <x:c r="CS26" s="25"/>
      <x:c r="CT26" s="25"/>
      <x:c r="CU26" s="25"/>
      <x:c r="CV26" s="25"/>
      <x:c r="CW26" s="25"/>
      <x:c r="CX26" s="25"/>
      <x:c r="CY26" s="25"/>
      <x:c r="CZ26" s="25"/>
      <x:c r="DA26" s="25"/>
      <x:c r="DB26" s="25"/>
      <x:c r="DC26" s="25"/>
      <x:c r="DD26" s="25"/>
      <x:c r="DE26" s="25"/>
      <x:c r="DF26" s="25"/>
      <x:c r="DG26" s="25"/>
      <x:c r="DH26" s="25"/>
      <x:c r="DI26" s="25"/>
      <x:c r="DJ26" s="25"/>
      <x:c r="DK26" s="25"/>
      <x:c r="DL26" s="25"/>
      <x:c r="DM26" s="25"/>
      <x:c r="DN26" s="25"/>
      <x:c r="DO26" s="25"/>
      <x:c r="DP26" s="25"/>
      <x:c r="DQ26" s="25"/>
      <x:c r="DR26" s="25"/>
      <x:c r="DS26" s="25"/>
      <x:c r="DT26" s="25"/>
      <x:c r="DU26" s="25"/>
      <x:c r="DV26" s="25"/>
      <x:c r="DW26" s="25"/>
      <x:c r="DX26" s="25"/>
    </x:row>
    <x:row r="27" spans="1:128" ht="15.6" x14ac:dyDescent="0.3">
      <x:c r="A27" s="25"/>
      <x:c r="B27" s="264">
        <x:v>17</x:v>
      </x:c>
      <x:c r="C27" s="259"/>
      <x:c r="D27" s="822"/>
      <x:c r="E27" s="823"/>
      <x:c r="F27" s="765"/>
      <x:c r="G27" s="766"/>
      <x:c r="H27" s="767"/>
      <x:c r="I27" s="305"/>
      <x:c r="J27" s="306"/>
      <x:c r="K27" s="307"/>
      <x:c r="L27" s="301" t="str">
        <x:f t="shared" si="0"/>
        <x:v/>
      </x:c>
      <x:c r="M27" s="301" t="str">
        <x:f t="shared" si="1"/>
        <x:v/>
      </x:c>
      <x:c r="N27" s="356" t="str">
        <x:f t="shared" si="2"/>
        <x:v/>
      </x:c>
      <x:c r="O27" s="69"/>
      <x:c r="P27" s="8"/>
      <x:c r="Q27" s="25"/>
      <x:c r="R27" s="652"/>
      <x:c r="S27" s="25"/>
      <x:c r="T27" s="661" t="str">
        <x:f>IF(C27="","",VLOOKUP(D27,'9. All Habitats + Multipliers'!$C$4:$K$102,5,FALSE))</x:f>
        <x:v/>
      </x:c>
      <x:c r="U27" s="662"/>
      <x:c r="V27" s="94" t="str">
        <x:f>IF(T27="","",VLOOKUP(T27,'11. Lists'!$B$47:$D$49,2,FALSE))</x:f>
        <x:v/>
      </x:c>
      <x:c r="W27" s="184" t="str">
        <x:f>IF(C27="","",VLOOKUP(D27,'10. Condition and Temporal'!$B$6:$C$103,2,FALSE))</x:f>
        <x:v/>
      </x:c>
      <x:c r="X27" s="94" t="str">
        <x:f>IF(W27="","",VLOOKUP(W27,'11. Lists'!$F$47:$G$51,2,FALSE))</x:f>
        <x:v/>
      </x:c>
      <x:c r="Y27" s="48"/>
      <x:c r="Z27" s="48"/>
      <x:c r="AA27" s="48"/>
      <x:c r="AB27" s="93" t="str">
        <x:f t="shared" si="6"/>
        <x:v/>
      </x:c>
      <x:c r="AC27" s="95" t="str">
        <x:f>IF(AB27="","",VLOOKUP(AB27,'11. Lists'!$F$36:$H$38,2,FALSE))</x:f>
        <x:v/>
      </x:c>
      <x:c r="AD27" s="94" t="str">
        <x:f>IF(AB27="","",VLOOKUP(AB27,'11. Lists'!$F$36:$H$38,3,FALSE))</x:f>
        <x:v/>
      </x:c>
      <x:c r="AE27" s="298" t="str">
        <x:f t="shared" si="3"/>
        <x:v/>
      </x:c>
      <x:c r="AF27" s="299" t="str">
        <x:f t="shared" si="4"/>
        <x:v/>
      </x:c>
      <x:c r="AG27" s="96" t="str">
        <x:f t="shared" si="5"/>
        <x:v/>
      </x:c>
      <x:c r="AH27" s="511" t="str">
        <x:f>IF(T27="","",VLOOKUP(T27,'11. Lists'!$B$47:$D$49,3,FALSE))</x:f>
        <x:v/>
      </x:c>
      <x:c r="AI27" s="545" t="str">
        <x:f>IF(D27="","",VLOOKUP(D27,'10. Condition and Temporal'!$B$6:$L$103,4,FALSE))</x:f>
        <x:v/>
      </x:c>
      <x:c r="AJ27" s="25"/>
      <x:c r="AK27" s="25"/>
      <x:c r="AL27" s="25"/>
      <x:c r="AM27" s="25"/>
      <x:c r="AN27" s="25"/>
      <x:c r="AO27" s="25"/>
      <x:c r="AP27" s="25"/>
      <x:c r="AQ27" s="25"/>
      <x:c r="AR27" s="25"/>
      <x:c r="AS27" s="25"/>
      <x:c r="AT27" s="25"/>
      <x:c r="AU27" s="25"/>
      <x:c r="AV27" s="25"/>
      <x:c r="AW27" s="25"/>
      <x:c r="AX27" s="25"/>
      <x:c r="AY27" s="25"/>
      <x:c r="AZ27" s="25"/>
      <x:c r="BA27" s="25"/>
      <x:c r="BB27" s="25"/>
      <x:c r="BC27" s="25"/>
      <x:c r="BD27" s="25"/>
      <x:c r="BE27" s="25"/>
      <x:c r="BF27" s="25"/>
      <x:c r="BG27" s="25"/>
      <x:c r="BH27" s="25"/>
      <x:c r="BI27" s="25"/>
      <x:c r="BJ27" s="25"/>
      <x:c r="BK27" s="25"/>
      <x:c r="BL27" s="25"/>
      <x:c r="BM27" s="25"/>
      <x:c r="BN27" s="25"/>
      <x:c r="BO27" s="25"/>
      <x:c r="BP27" s="25"/>
      <x:c r="BQ27" s="25"/>
      <x:c r="BR27" s="25"/>
      <x:c r="BS27" s="25"/>
      <x:c r="BT27" s="25"/>
      <x:c r="BU27" s="25"/>
      <x:c r="BV27" s="25"/>
      <x:c r="BW27" s="25"/>
      <x:c r="BX27" s="25"/>
      <x:c r="BY27" s="25"/>
      <x:c r="BZ27" s="25"/>
      <x:c r="CA27" s="25"/>
      <x:c r="CB27" s="25"/>
      <x:c r="CC27" s="25"/>
      <x:c r="CD27" s="25"/>
      <x:c r="CE27" s="25"/>
      <x:c r="CF27" s="25"/>
      <x:c r="CG27" s="25"/>
      <x:c r="CH27" s="25"/>
      <x:c r="CI27" s="25"/>
      <x:c r="CJ27" s="25"/>
      <x:c r="CK27" s="25"/>
      <x:c r="CL27" s="25"/>
      <x:c r="CM27" s="25"/>
      <x:c r="CN27" s="25"/>
      <x:c r="CO27" s="25"/>
      <x:c r="CP27" s="25"/>
      <x:c r="CQ27" s="25"/>
      <x:c r="CR27" s="25"/>
      <x:c r="CS27" s="25"/>
      <x:c r="CT27" s="25"/>
      <x:c r="CU27" s="25"/>
      <x:c r="CV27" s="25"/>
      <x:c r="CW27" s="25"/>
      <x:c r="CX27" s="25"/>
      <x:c r="CY27" s="25"/>
      <x:c r="CZ27" s="25"/>
      <x:c r="DA27" s="25"/>
      <x:c r="DB27" s="25"/>
      <x:c r="DC27" s="25"/>
      <x:c r="DD27" s="25"/>
      <x:c r="DE27" s="25"/>
      <x:c r="DF27" s="25"/>
      <x:c r="DG27" s="25"/>
      <x:c r="DH27" s="25"/>
      <x:c r="DI27" s="25"/>
      <x:c r="DJ27" s="25"/>
      <x:c r="DK27" s="25"/>
      <x:c r="DL27" s="25"/>
      <x:c r="DM27" s="25"/>
      <x:c r="DN27" s="25"/>
      <x:c r="DO27" s="25"/>
      <x:c r="DP27" s="25"/>
      <x:c r="DQ27" s="25"/>
      <x:c r="DR27" s="25"/>
      <x:c r="DS27" s="25"/>
      <x:c r="DT27" s="25"/>
      <x:c r="DU27" s="25"/>
      <x:c r="DV27" s="25"/>
      <x:c r="DW27" s="25"/>
      <x:c r="DX27" s="25"/>
    </x:row>
    <x:row r="28" spans="1:128" ht="15.6" x14ac:dyDescent="0.3">
      <x:c r="A28" s="25"/>
      <x:c r="B28" s="264">
        <x:v>18</x:v>
      </x:c>
      <x:c r="C28" s="259"/>
      <x:c r="D28" s="822"/>
      <x:c r="E28" s="823"/>
      <x:c r="F28" s="765"/>
      <x:c r="G28" s="766"/>
      <x:c r="H28" s="767"/>
      <x:c r="I28" s="305"/>
      <x:c r="J28" s="306"/>
      <x:c r="K28" s="307"/>
      <x:c r="L28" s="301" t="str">
        <x:f t="shared" si="0"/>
        <x:v/>
      </x:c>
      <x:c r="M28" s="301" t="str">
        <x:f t="shared" si="1"/>
        <x:v/>
      </x:c>
      <x:c r="N28" s="356" t="str">
        <x:f t="shared" si="2"/>
        <x:v/>
      </x:c>
      <x:c r="O28" s="69"/>
      <x:c r="P28" s="8"/>
      <x:c r="Q28" s="25"/>
      <x:c r="R28" s="652"/>
      <x:c r="S28" s="25"/>
      <x:c r="T28" s="661" t="str">
        <x:f>IF(C28="","",VLOOKUP(D28,'9. All Habitats + Multipliers'!$C$4:$K$102,5,FALSE))</x:f>
        <x:v/>
      </x:c>
      <x:c r="U28" s="662"/>
      <x:c r="V28" s="94" t="str">
        <x:f>IF(T28="","",VLOOKUP(T28,'11. Lists'!$B$47:$D$49,2,FALSE))</x:f>
        <x:v/>
      </x:c>
      <x:c r="W28" s="184" t="str">
        <x:f>IF(C28="","",VLOOKUP(D28,'10. Condition and Temporal'!$B$6:$C$103,2,FALSE))</x:f>
        <x:v/>
      </x:c>
      <x:c r="X28" s="94" t="str">
        <x:f>IF(W28="","",VLOOKUP(W28,'11. Lists'!$F$47:$G$51,2,FALSE))</x:f>
        <x:v/>
      </x:c>
      <x:c r="Y28" s="48"/>
      <x:c r="Z28" s="48"/>
      <x:c r="AA28" s="48"/>
      <x:c r="AB28" s="93" t="str">
        <x:f t="shared" si="6"/>
        <x:v/>
      </x:c>
      <x:c r="AC28" s="95" t="str">
        <x:f>IF(AB28="","",VLOOKUP(AB28,'11. Lists'!$F$36:$H$38,2,FALSE))</x:f>
        <x:v/>
      </x:c>
      <x:c r="AD28" s="94" t="str">
        <x:f>IF(AB28="","",VLOOKUP(AB28,'11. Lists'!$F$36:$H$38,3,FALSE))</x:f>
        <x:v/>
      </x:c>
      <x:c r="AE28" s="298" t="str">
        <x:f t="shared" si="3"/>
        <x:v/>
      </x:c>
      <x:c r="AF28" s="299" t="str">
        <x:f t="shared" si="4"/>
        <x:v/>
      </x:c>
      <x:c r="AG28" s="96" t="str">
        <x:f t="shared" si="5"/>
        <x:v/>
      </x:c>
      <x:c r="AH28" s="511" t="str">
        <x:f>IF(T28="","",VLOOKUP(T28,'11. Lists'!$B$47:$D$49,3,FALSE))</x:f>
        <x:v/>
      </x:c>
      <x:c r="AI28" s="545" t="str">
        <x:f>IF(D28="","",VLOOKUP(D28,'10. Condition and Temporal'!$B$6:$L$103,4,FALSE))</x:f>
        <x:v/>
      </x:c>
      <x:c r="AJ28" s="25"/>
      <x:c r="AK28" s="25"/>
      <x:c r="AL28" s="25"/>
      <x:c r="AM28" s="25"/>
      <x:c r="AN28" s="25"/>
      <x:c r="AO28" s="25"/>
      <x:c r="AP28" s="25"/>
      <x:c r="AQ28" s="25"/>
      <x:c r="AR28" s="25"/>
      <x:c r="AS28" s="25"/>
      <x:c r="AT28" s="25"/>
      <x:c r="AU28" s="25"/>
      <x:c r="AV28" s="25"/>
      <x:c r="AW28" s="25"/>
      <x:c r="AX28" s="25"/>
      <x:c r="AY28" s="25"/>
      <x:c r="AZ28" s="25"/>
      <x:c r="BA28" s="25"/>
      <x:c r="BB28" s="25"/>
      <x:c r="BC28" s="25"/>
      <x:c r="BD28" s="25"/>
      <x:c r="BE28" s="25"/>
      <x:c r="BF28" s="25"/>
      <x:c r="BG28" s="25"/>
      <x:c r="BH28" s="25"/>
      <x:c r="BI28" s="25"/>
      <x:c r="BJ28" s="25"/>
      <x:c r="BK28" s="25"/>
      <x:c r="BL28" s="25"/>
      <x:c r="BM28" s="25"/>
      <x:c r="BN28" s="25"/>
      <x:c r="BO28" s="25"/>
      <x:c r="BP28" s="25"/>
      <x:c r="BQ28" s="25"/>
      <x:c r="BR28" s="25"/>
      <x:c r="BS28" s="25"/>
      <x:c r="BT28" s="25"/>
      <x:c r="BU28" s="25"/>
      <x:c r="BV28" s="25"/>
      <x:c r="BW28" s="25"/>
      <x:c r="BX28" s="25"/>
      <x:c r="BY28" s="25"/>
      <x:c r="BZ28" s="25"/>
      <x:c r="CA28" s="25"/>
      <x:c r="CB28" s="25"/>
      <x:c r="CC28" s="25"/>
      <x:c r="CD28" s="25"/>
      <x:c r="CE28" s="25"/>
      <x:c r="CF28" s="25"/>
      <x:c r="CG28" s="25"/>
      <x:c r="CH28" s="25"/>
      <x:c r="CI28" s="25"/>
      <x:c r="CJ28" s="25"/>
      <x:c r="CK28" s="25"/>
      <x:c r="CL28" s="25"/>
      <x:c r="CM28" s="25"/>
      <x:c r="CN28" s="25"/>
      <x:c r="CO28" s="25"/>
      <x:c r="CP28" s="25"/>
      <x:c r="CQ28" s="25"/>
      <x:c r="CR28" s="25"/>
      <x:c r="CS28" s="25"/>
      <x:c r="CT28" s="25"/>
      <x:c r="CU28" s="25"/>
      <x:c r="CV28" s="25"/>
      <x:c r="CW28" s="25"/>
      <x:c r="CX28" s="25"/>
      <x:c r="CY28" s="25"/>
      <x:c r="CZ28" s="25"/>
      <x:c r="DA28" s="25"/>
      <x:c r="DB28" s="25"/>
      <x:c r="DC28" s="25"/>
      <x:c r="DD28" s="25"/>
      <x:c r="DE28" s="25"/>
      <x:c r="DF28" s="25"/>
      <x:c r="DG28" s="25"/>
      <x:c r="DH28" s="25"/>
      <x:c r="DI28" s="25"/>
      <x:c r="DJ28" s="25"/>
      <x:c r="DK28" s="25"/>
      <x:c r="DL28" s="25"/>
      <x:c r="DM28" s="25"/>
      <x:c r="DN28" s="25"/>
      <x:c r="DO28" s="25"/>
      <x:c r="DP28" s="25"/>
      <x:c r="DQ28" s="25"/>
      <x:c r="DR28" s="25"/>
      <x:c r="DS28" s="25"/>
      <x:c r="DT28" s="25"/>
      <x:c r="DU28" s="25"/>
      <x:c r="DV28" s="25"/>
      <x:c r="DW28" s="25"/>
      <x:c r="DX28" s="25"/>
    </x:row>
    <x:row r="29" spans="1:128" ht="15.6" x14ac:dyDescent="0.3">
      <x:c r="A29" s="25"/>
      <x:c r="B29" s="264">
        <x:v>19</x:v>
      </x:c>
      <x:c r="C29" s="259"/>
      <x:c r="D29" s="822"/>
      <x:c r="E29" s="823"/>
      <x:c r="F29" s="765"/>
      <x:c r="G29" s="766"/>
      <x:c r="H29" s="767"/>
      <x:c r="I29" s="305"/>
      <x:c r="J29" s="306"/>
      <x:c r="K29" s="307"/>
      <x:c r="L29" s="301" t="str">
        <x:f t="shared" si="0"/>
        <x:v/>
      </x:c>
      <x:c r="M29" s="301" t="str">
        <x:f t="shared" si="1"/>
        <x:v/>
      </x:c>
      <x:c r="N29" s="356" t="str">
        <x:f t="shared" si="2"/>
        <x:v/>
      </x:c>
      <x:c r="O29" s="69"/>
      <x:c r="P29" s="8"/>
      <x:c r="Q29" s="25"/>
      <x:c r="R29" s="652"/>
      <x:c r="S29" s="25"/>
      <x:c r="T29" s="661" t="str">
        <x:f>IF(C29="","",VLOOKUP(D29,'9. All Habitats + Multipliers'!$C$4:$K$102,5,FALSE))</x:f>
        <x:v/>
      </x:c>
      <x:c r="U29" s="662"/>
      <x:c r="V29" s="94" t="str">
        <x:f>IF(T29="","",VLOOKUP(T29,'11. Lists'!$B$47:$D$49,2,FALSE))</x:f>
        <x:v/>
      </x:c>
      <x:c r="W29" s="184" t="str">
        <x:f>IF(C29="","",VLOOKUP(D29,'10. Condition and Temporal'!$B$6:$C$103,2,FALSE))</x:f>
        <x:v/>
      </x:c>
      <x:c r="X29" s="94" t="str">
        <x:f>IF(W29="","",VLOOKUP(W29,'11. Lists'!$F$47:$G$51,2,FALSE))</x:f>
        <x:v/>
      </x:c>
      <x:c r="Y29" s="48"/>
      <x:c r="Z29" s="48"/>
      <x:c r="AA29" s="48"/>
      <x:c r="AB29" s="93" t="str">
        <x:f t="shared" si="6"/>
        <x:v/>
      </x:c>
      <x:c r="AC29" s="95" t="str">
        <x:f>IF(AB29="","",VLOOKUP(AB29,'11. Lists'!$F$36:$H$38,2,FALSE))</x:f>
        <x:v/>
      </x:c>
      <x:c r="AD29" s="94" t="str">
        <x:f>IF(AB29="","",VLOOKUP(AB29,'11. Lists'!$F$36:$H$38,3,FALSE))</x:f>
        <x:v/>
      </x:c>
      <x:c r="AE29" s="298" t="str">
        <x:f t="shared" si="3"/>
        <x:v/>
      </x:c>
      <x:c r="AF29" s="299" t="str">
        <x:f t="shared" si="4"/>
        <x:v/>
      </x:c>
      <x:c r="AG29" s="96" t="str">
        <x:f t="shared" si="5"/>
        <x:v/>
      </x:c>
      <x:c r="AH29" s="511" t="str">
        <x:f>IF(T29="","",VLOOKUP(T29,'11. Lists'!$B$47:$D$49,3,FALSE))</x:f>
        <x:v/>
      </x:c>
      <x:c r="AI29" s="545" t="str">
        <x:f>IF(D29="","",VLOOKUP(D29,'10. Condition and Temporal'!$B$6:$L$103,4,FALSE))</x:f>
        <x:v/>
      </x:c>
      <x:c r="AJ29" s="25"/>
      <x:c r="AK29" s="25"/>
      <x:c r="AL29" s="25"/>
      <x:c r="AM29" s="25"/>
      <x:c r="AN29" s="25"/>
      <x:c r="AO29" s="25"/>
      <x:c r="AP29" s="25"/>
      <x:c r="AQ29" s="25"/>
      <x:c r="AR29" s="25"/>
      <x:c r="AS29" s="25"/>
      <x:c r="AT29" s="25"/>
      <x:c r="AU29" s="25"/>
      <x:c r="AV29" s="25"/>
      <x:c r="AW29" s="25"/>
      <x:c r="AX29" s="25"/>
      <x:c r="AY29" s="25"/>
      <x:c r="AZ29" s="25"/>
      <x:c r="BA29" s="25"/>
      <x:c r="BB29" s="25"/>
      <x:c r="BC29" s="25"/>
      <x:c r="BD29" s="25"/>
      <x:c r="BE29" s="25"/>
      <x:c r="BF29" s="25"/>
      <x:c r="BG29" s="25"/>
      <x:c r="BH29" s="25"/>
      <x:c r="BI29" s="25"/>
      <x:c r="BJ29" s="25"/>
      <x:c r="BK29" s="25"/>
      <x:c r="BL29" s="25"/>
      <x:c r="BM29" s="25"/>
      <x:c r="BN29" s="25"/>
      <x:c r="BO29" s="25"/>
      <x:c r="BP29" s="25"/>
      <x:c r="BQ29" s="25"/>
      <x:c r="BR29" s="25"/>
      <x:c r="BS29" s="25"/>
      <x:c r="BT29" s="25"/>
      <x:c r="BU29" s="25"/>
      <x:c r="BV29" s="25"/>
      <x:c r="BW29" s="25"/>
      <x:c r="BX29" s="25"/>
      <x:c r="BY29" s="25"/>
      <x:c r="BZ29" s="25"/>
      <x:c r="CA29" s="25"/>
      <x:c r="CB29" s="25"/>
      <x:c r="CC29" s="25"/>
      <x:c r="CD29" s="25"/>
      <x:c r="CE29" s="25"/>
      <x:c r="CF29" s="25"/>
      <x:c r="CG29" s="25"/>
      <x:c r="CH29" s="25"/>
      <x:c r="CI29" s="25"/>
      <x:c r="CJ29" s="25"/>
      <x:c r="CK29" s="25"/>
      <x:c r="CL29" s="25"/>
      <x:c r="CM29" s="25"/>
      <x:c r="CN29" s="25"/>
      <x:c r="CO29" s="25"/>
      <x:c r="CP29" s="25"/>
      <x:c r="CQ29" s="25"/>
      <x:c r="CR29" s="25"/>
      <x:c r="CS29" s="25"/>
      <x:c r="CT29" s="25"/>
      <x:c r="CU29" s="25"/>
      <x:c r="CV29" s="25"/>
      <x:c r="CW29" s="25"/>
      <x:c r="CX29" s="25"/>
      <x:c r="CY29" s="25"/>
      <x:c r="CZ29" s="25"/>
      <x:c r="DA29" s="25"/>
      <x:c r="DB29" s="25"/>
      <x:c r="DC29" s="25"/>
      <x:c r="DD29" s="25"/>
      <x:c r="DE29" s="25"/>
      <x:c r="DF29" s="25"/>
      <x:c r="DG29" s="25"/>
      <x:c r="DH29" s="25"/>
      <x:c r="DI29" s="25"/>
      <x:c r="DJ29" s="25"/>
      <x:c r="DK29" s="25"/>
      <x:c r="DL29" s="25"/>
      <x:c r="DM29" s="25"/>
      <x:c r="DN29" s="25"/>
      <x:c r="DO29" s="25"/>
      <x:c r="DP29" s="25"/>
      <x:c r="DQ29" s="25"/>
      <x:c r="DR29" s="25"/>
      <x:c r="DS29" s="25"/>
      <x:c r="DT29" s="25"/>
      <x:c r="DU29" s="25"/>
      <x:c r="DV29" s="25"/>
      <x:c r="DW29" s="25"/>
      <x:c r="DX29" s="25"/>
    </x:row>
    <x:row r="30" spans="1:128" ht="16.2" thickBot="1" x14ac:dyDescent="0.35">
      <x:c r="A30" s="25"/>
      <x:c r="B30" s="265">
        <x:v>20</x:v>
      </x:c>
      <x:c r="C30" s="258"/>
      <x:c r="D30" s="831"/>
      <x:c r="E30" s="832"/>
      <x:c r="F30" s="765"/>
      <x:c r="G30" s="766"/>
      <x:c r="H30" s="767"/>
      <x:c r="I30" s="305"/>
      <x:c r="J30" s="306"/>
      <x:c r="K30" s="307"/>
      <x:c r="L30" s="410" t="str">
        <x:f t="shared" si="0"/>
        <x:v/>
      </x:c>
      <x:c r="M30" s="410" t="str">
        <x:f t="shared" si="1"/>
        <x:v/>
      </x:c>
      <x:c r="N30" s="411" t="str">
        <x:f t="shared" si="2"/>
        <x:v/>
      </x:c>
      <x:c r="O30" s="70"/>
      <x:c r="P30" s="4"/>
      <x:c r="Q30" s="25"/>
      <x:c r="R30" s="652"/>
      <x:c r="S30" s="25"/>
      <x:c r="T30" s="661" t="str">
        <x:f>IF(C30="","",VLOOKUP(D30,'9. All Habitats + Multipliers'!$C$4:$K$102,5,FALSE))</x:f>
        <x:v/>
      </x:c>
      <x:c r="U30" s="662"/>
      <x:c r="V30" s="94" t="str">
        <x:f>IF(T30="","",VLOOKUP(T30,'11. Lists'!$B$47:$D$49,2,FALSE))</x:f>
        <x:v/>
      </x:c>
      <x:c r="W30" s="184" t="str">
        <x:f>IF(C30="","",VLOOKUP(D30,'10. Condition and Temporal'!$B$6:$C$103,2,FALSE))</x:f>
        <x:v/>
      </x:c>
      <x:c r="X30" s="94" t="str">
        <x:f>IF(W30="","",VLOOKUP(W30,'11. Lists'!$F$47:$G$51,2,FALSE))</x:f>
        <x:v/>
      </x:c>
      <x:c r="Y30" s="48"/>
      <x:c r="Z30" s="48"/>
      <x:c r="AA30" s="48"/>
      <x:c r="AB30" s="93" t="str">
        <x:f t="shared" si="6"/>
        <x:v/>
      </x:c>
      <x:c r="AC30" s="95" t="str">
        <x:f>IF(AB30="","",VLOOKUP(AB30,'11. Lists'!$F$36:$H$38,2,FALSE))</x:f>
        <x:v/>
      </x:c>
      <x:c r="AD30" s="94" t="str">
        <x:f>IF(AB30="","",VLOOKUP(AB30,'11. Lists'!$F$36:$H$38,3,FALSE))</x:f>
        <x:v/>
      </x:c>
      <x:c r="AE30" s="298" t="str">
        <x:f t="shared" si="3"/>
        <x:v/>
      </x:c>
      <x:c r="AF30" s="299" t="str">
        <x:f t="shared" si="4"/>
        <x:v/>
      </x:c>
      <x:c r="AG30" s="96" t="str">
        <x:f t="shared" si="5"/>
        <x:v/>
      </x:c>
      <x:c r="AH30" s="511" t="str">
        <x:f>IF(T30="","",VLOOKUP(T30,'11. Lists'!$B$47:$D$49,3,FALSE))</x:f>
        <x:v/>
      </x:c>
      <x:c r="AI30" s="545" t="str">
        <x:f>IF(D30="","",VLOOKUP(D30,'10. Condition and Temporal'!$B$6:$L$103,4,FALSE))</x:f>
        <x:v/>
      </x:c>
      <x:c r="AJ30" s="25"/>
      <x:c r="AK30" s="25"/>
      <x:c r="AL30" s="25"/>
      <x:c r="AM30" s="25"/>
      <x:c r="AN30" s="25"/>
      <x:c r="AO30" s="25"/>
      <x:c r="AP30" s="25"/>
      <x:c r="AQ30" s="25"/>
      <x:c r="AR30" s="25"/>
      <x:c r="AS30" s="25"/>
      <x:c r="AT30" s="25"/>
      <x:c r="AU30" s="25"/>
      <x:c r="AV30" s="25"/>
      <x:c r="AW30" s="25"/>
      <x:c r="AX30" s="25"/>
      <x:c r="AY30" s="25"/>
      <x:c r="AZ30" s="25"/>
      <x:c r="BA30" s="25"/>
      <x:c r="BB30" s="25"/>
      <x:c r="BC30" s="25"/>
      <x:c r="BD30" s="25"/>
      <x:c r="BE30" s="25"/>
      <x:c r="BF30" s="25"/>
      <x:c r="BG30" s="25"/>
      <x:c r="BH30" s="25"/>
      <x:c r="BI30" s="25"/>
      <x:c r="BJ30" s="25"/>
      <x:c r="BK30" s="25"/>
      <x:c r="BL30" s="25"/>
      <x:c r="BM30" s="25"/>
      <x:c r="BN30" s="25"/>
      <x:c r="BO30" s="25"/>
      <x:c r="BP30" s="25"/>
      <x:c r="BQ30" s="25"/>
      <x:c r="BR30" s="25"/>
      <x:c r="BS30" s="25"/>
      <x:c r="BT30" s="25"/>
      <x:c r="BU30" s="25"/>
      <x:c r="BV30" s="25"/>
      <x:c r="BW30" s="25"/>
      <x:c r="BX30" s="25"/>
      <x:c r="BY30" s="25"/>
      <x:c r="BZ30" s="25"/>
      <x:c r="CA30" s="25"/>
      <x:c r="CB30" s="25"/>
      <x:c r="CC30" s="25"/>
      <x:c r="CD30" s="25"/>
      <x:c r="CE30" s="25"/>
      <x:c r="CF30" s="25"/>
      <x:c r="CG30" s="25"/>
      <x:c r="CH30" s="25"/>
      <x:c r="CI30" s="25"/>
      <x:c r="CJ30" s="25"/>
      <x:c r="CK30" s="25"/>
      <x:c r="CL30" s="25"/>
      <x:c r="CM30" s="25"/>
      <x:c r="CN30" s="25"/>
      <x:c r="CO30" s="25"/>
      <x:c r="CP30" s="25"/>
      <x:c r="CQ30" s="25"/>
      <x:c r="CR30" s="25"/>
      <x:c r="CS30" s="25"/>
      <x:c r="CT30" s="25"/>
      <x:c r="CU30" s="25"/>
      <x:c r="CV30" s="25"/>
      <x:c r="CW30" s="25"/>
      <x:c r="CX30" s="25"/>
      <x:c r="CY30" s="25"/>
      <x:c r="CZ30" s="25"/>
      <x:c r="DA30" s="25"/>
      <x:c r="DB30" s="25"/>
      <x:c r="DC30" s="25"/>
      <x:c r="DD30" s="25"/>
      <x:c r="DE30" s="25"/>
      <x:c r="DF30" s="25"/>
      <x:c r="DG30" s="25"/>
      <x:c r="DH30" s="25"/>
      <x:c r="DI30" s="25"/>
      <x:c r="DJ30" s="25"/>
      <x:c r="DK30" s="25"/>
      <x:c r="DL30" s="25"/>
      <x:c r="DM30" s="25"/>
      <x:c r="DN30" s="25"/>
      <x:c r="DO30" s="25"/>
      <x:c r="DP30" s="25"/>
      <x:c r="DQ30" s="25"/>
      <x:c r="DR30" s="25"/>
      <x:c r="DS30" s="25"/>
      <x:c r="DT30" s="25"/>
      <x:c r="DU30" s="25"/>
      <x:c r="DV30" s="25"/>
      <x:c r="DW30" s="25"/>
      <x:c r="DX30" s="25"/>
    </x:row>
    <x:row r="31" spans="1:128" ht="29.4" thickBot="1" x14ac:dyDescent="0.35">
      <x:c r="A31" s="25"/>
      <x:c r="B31" s="265" t="s">
        <x:v>92</x:v>
      </x:c>
      <x:c r="C31" s="97" t="inlineStr">
        <x:v/>
        <x:is>
          <x:t xml:space="preserve">Individual trees</x:t>
        </x:is>
      </x:c>
      <x:c r="D31" s="830" t="inlineStr">
        <x:v/>
        <x:is>
          <x:t xml:space="preserve">Urban/rural tree</x:t>
        </x:is>
      </x:c>
      <x:c r="E31" s="746"/>
      <x:c r="F31" s="780" t="inlineStr">
        <x:v/>
        <x:is>
          <x:t xml:space="preserve">Area/compensation not in local strategy/ no local strategy</x:t>
        </x:is>
      </x:c>
      <x:c r="G31" s="781"/>
      <x:c r="H31" s="782"/>
      <x:c r="I31" s="324" t="n">
        <x:f>I99</x:f>
        <x:v>40.6944</x:v>
      </x:c>
      <x:c r="J31" s="325" t="n">
        <x:f>L99</x:f>
        <x:v>40.6944</x:v>
      </x:c>
      <x:c r="K31" s="426" t="n">
        <x:v>0</x:v>
      </x:c>
      <x:c r="L31" s="405">
        <x:f>IF(C31="","",((I31/10000)*V31*X31)*AD31)</x:f>
        <x:v>0</x:v>
      </x:c>
      <x:c r="M31" s="412">
        <x:f>IF(C31="","",I31-J31-K31)</x:f>
        <x:v>0</x:v>
      </x:c>
      <x:c r="N31" s="413">
        <x:f>IF(C31="","",((M31/10000)*V31*X31)*AD31)</x:f>
        <x:v>0</x:v>
      </x:c>
      <x:c r="O31" s="13" t="inlineStr">
        <x:v/>
        <x:is>
          <x:t xml:space="preserve"/>
        </x:is>
      </x:c>
      <x:c r="P31" s="14"/>
      <x:c r="Q31" s="25"/>
      <x:c r="R31" s="652"/>
      <x:c r="S31" s="25"/>
      <x:c r="T31" s="663" t="str">
        <x:f>IF(C31="","",VLOOKUP(D31,'9. All Habitats + Multipliers'!$C$4:$K$102,5,FALSE))</x:f>
        <x:v>Medium</x:v>
      </x:c>
      <x:c r="U31" s="664"/>
      <x:c r="V31" s="99">
        <x:f>IF(T31="","",VLOOKUP(T31,'11. Lists'!$B$47:$D$49,2,FALSE))</x:f>
        <x:v>4</x:v>
      </x:c>
      <x:c r="W31" s="345" t="str">
        <x:f>IF(C31="","",VLOOKUP(D31,'10. Condition and Temporal'!$B$6:$C$103,2,FALSE))</x:f>
        <x:v>Moderate</x:v>
      </x:c>
      <x:c r="X31" s="99">
        <x:f>IF(W31="","",VLOOKUP(W31,'11. Lists'!$F$47:$G$51,2,FALSE))</x:f>
        <x:v>2</x:v>
      </x:c>
      <x:c r="Y31" s="48"/>
      <x:c r="Z31" s="48"/>
      <x:c r="AA31" s="48"/>
      <x:c r="AB31" s="98" t="str">
        <x:f>IF(F31="","",F31)</x:f>
        <x:v>Formally identified in local strategy</x:v>
      </x:c>
      <x:c r="AC31" s="100" t="str">
        <x:f>IF(AB31="","",VLOOKUP(AB31,'11. Lists'!$F$36:$H$38,2,FALSE))</x:f>
        <x:v xml:space="preserve">High strategic significance </x:v>
      </x:c>
      <x:c r="AD31" s="99">
        <x:f>IF(AB31="","",VLOOKUP(AB31,'11. Lists'!$F$36:$H$38,3,FALSE))</x:f>
        <x:v>1.1499999999999999</x:v>
      </x:c>
      <x:c r="AE31" s="544">
        <x:f>IF(D31="","",((J31/10000)*V31*X31)*(AD31))</x:f>
        <x:v>0</x:v>
      </x:c>
      <x:c r="AF31" s="101">
        <x:f>IF(D31="","",((K31/10000)*V31*X31)*(AD31))</x:f>
        <x:v>0</x:v>
      </x:c>
      <x:c r="AG31" s="102">
        <x:f t="shared" si="5"/>
        <x:v>0</x:v>
      </x:c>
      <x:c r="AH31" s="512" t="str">
        <x:f>IF(T31="","",VLOOKUP(T31,'11. Lists'!$B$47:$D$49,3,FALSE))</x:f>
        <x:v>Same broad habitat or a higher distinctiveness habitat required</x:v>
      </x:c>
      <x:c r="AI31" s="545" t="str">
        <x:f>IF(D31="","",VLOOKUP(D31,'10. Condition and Temporal'!$B$6:$L$103,4,FALSE))</x:f>
        <x:v>Urban/rural tree</x:v>
      </x:c>
      <x:c r="AJ31" s="25"/>
      <x:c r="AK31" s="25"/>
      <x:c r="AL31" s="25"/>
      <x:c r="AM31" s="25"/>
      <x:c r="AN31" s="25"/>
      <x:c r="AO31" s="25"/>
      <x:c r="AP31" s="25"/>
      <x:c r="AQ31" s="25"/>
      <x:c r="AR31" s="25"/>
      <x:c r="AS31" s="25"/>
      <x:c r="AT31" s="25"/>
      <x:c r="AU31" s="25"/>
      <x:c r="AV31" s="25"/>
      <x:c r="AW31" s="25"/>
      <x:c r="AX31" s="25"/>
      <x:c r="AY31" s="25"/>
      <x:c r="AZ31" s="25"/>
      <x:c r="BA31" s="25"/>
      <x:c r="BB31" s="25"/>
      <x:c r="BC31" s="25"/>
      <x:c r="BD31" s="25"/>
      <x:c r="BE31" s="25"/>
      <x:c r="BF31" s="25"/>
      <x:c r="BG31" s="25"/>
      <x:c r="BH31" s="25"/>
      <x:c r="BI31" s="25"/>
      <x:c r="BJ31" s="25"/>
      <x:c r="BK31" s="25"/>
      <x:c r="BL31" s="25"/>
      <x:c r="BM31" s="25"/>
      <x:c r="BN31" s="25"/>
      <x:c r="BO31" s="25"/>
      <x:c r="BP31" s="25"/>
      <x:c r="BQ31" s="25"/>
      <x:c r="BR31" s="25"/>
      <x:c r="BS31" s="25"/>
      <x:c r="BT31" s="25"/>
      <x:c r="BU31" s="25"/>
      <x:c r="BV31" s="25"/>
      <x:c r="BW31" s="25"/>
      <x:c r="BX31" s="25"/>
      <x:c r="BY31" s="25"/>
      <x:c r="BZ31" s="25"/>
      <x:c r="CA31" s="25"/>
      <x:c r="CB31" s="25"/>
      <x:c r="CC31" s="25"/>
      <x:c r="CD31" s="25"/>
      <x:c r="CE31" s="25"/>
      <x:c r="CF31" s="25"/>
      <x:c r="CG31" s="25"/>
      <x:c r="CH31" s="25"/>
      <x:c r="CI31" s="25"/>
      <x:c r="CJ31" s="25"/>
      <x:c r="CK31" s="25"/>
      <x:c r="CL31" s="25"/>
      <x:c r="CM31" s="25"/>
      <x:c r="CN31" s="25"/>
      <x:c r="CO31" s="25"/>
      <x:c r="CP31" s="25"/>
      <x:c r="CQ31" s="25"/>
      <x:c r="CR31" s="25"/>
      <x:c r="CS31" s="25"/>
      <x:c r="CT31" s="25"/>
      <x:c r="CU31" s="25"/>
      <x:c r="CV31" s="25"/>
      <x:c r="CW31" s="25"/>
      <x:c r="CX31" s="25"/>
      <x:c r="CY31" s="25"/>
      <x:c r="CZ31" s="25"/>
      <x:c r="DA31" s="25"/>
      <x:c r="DB31" s="25"/>
      <x:c r="DC31" s="25"/>
      <x:c r="DD31" s="25"/>
      <x:c r="DE31" s="25"/>
      <x:c r="DF31" s="25"/>
      <x:c r="DG31" s="25"/>
      <x:c r="DH31" s="25"/>
      <x:c r="DI31" s="25"/>
      <x:c r="DJ31" s="25"/>
      <x:c r="DK31" s="25"/>
      <x:c r="DL31" s="25"/>
      <x:c r="DM31" s="25"/>
      <x:c r="DN31" s="25"/>
      <x:c r="DO31" s="25"/>
      <x:c r="DP31" s="25"/>
      <x:c r="DQ31" s="25"/>
      <x:c r="DR31" s="25"/>
      <x:c r="DS31" s="25"/>
      <x:c r="DT31" s="25"/>
      <x:c r="DU31" s="25"/>
      <x:c r="DV31" s="25"/>
      <x:c r="DW31" s="25"/>
      <x:c r="DX31" s="25"/>
    </x:row>
    <x:row r="32" spans="1:128" s="25" customFormat="1" ht="15" thickBot="1" x14ac:dyDescent="0.35">
      <x:c r="D32" s="89"/>
      <x:c r="E32" s="103"/>
      <x:c r="F32" s="103"/>
      <x:c r="G32" s="103"/>
      <x:c r="H32" s="499" t="s">
        <x:v>96</x:v>
      </x:c>
      <x:c r="I32" s="326">
        <x:f>SUMIFS(I11:I30,D11:D30,"&lt;&gt;"&amp;'11. Lists'!Q10,D11:D30,"&lt;&gt;"&amp;'11. Lists'!Q11,D11:D30,"&lt;&gt;"&amp;'11. Lists'!I4,D11:D30,"&lt;&gt;"&amp;'11. Lists'!I2,D11:D30,"&lt;&gt;"&amp;'11. Lists'!I3)</x:f>
        <x:v>0</x:v>
      </x:c>
      <x:c r="J32" s="327">
        <x:f>SUMIFS(J11:J30,D11:D30,"&lt;&gt;"&amp;'11. Lists'!Q10,D11:D30,"&lt;&gt;"&amp;'11. Lists'!Q11,D11:D30,"&lt;&gt;"&amp;'11. Lists'!I4,D11:D30,"&lt;&gt;"&amp;'11. Lists'!I2,D11:D30,"&lt;&gt;"&amp;'11. Lists'!I3)</x:f>
        <x:v>0</x:v>
      </x:c>
      <x:c r="K32" s="328">
        <x:f>SUMIFS(K11:K30,D11:D30,"&lt;&gt;"&amp;'11. Lists'!Q10,D11:D30,"&lt;&gt;"&amp;'11. Lists'!Q11,D11:D30,"&lt;&gt;"&amp;'11. Lists'!I4,D11:D30,"&lt;&gt;"&amp;'11. Lists'!I2,D11:D30,"&lt;&gt;"&amp;'11. Lists'!I3)</x:f>
        <x:v>0</x:v>
      </x:c>
      <x:c r="L32" s="279">
        <x:f>SUM(L11:L31)</x:f>
        <x:v>0</x:v>
      </x:c>
      <x:c r="M32" s="319">
        <x:f>SUMIFS(M11:M30,D11:D30,"&lt;&gt;"&amp;'11. Lists'!Q10,D11:D30,"&lt;&gt;"&amp;'11. Lists'!Q11,D11:D30,"&lt;&gt;"&amp;'11. Lists'!I4,D11:D30,"&lt;&gt;"&amp;'11. Lists'!I2,D11:D30,"&lt;&gt;"&amp;'11. Lists'!I3)</x:f>
        <x:v>0</x:v>
      </x:c>
      <x:c r="N32" s="280">
        <x:f>SUM(N11:N31)</x:f>
        <x:v>0</x:v>
      </x:c>
      <x:c r="R32" s="652"/>
    </x:row>
    <x:row r="33" spans="2:34" s="25" customFormat="1" x14ac:dyDescent="0.3">
      <x:c r="D33" s="89"/>
      <x:c r="E33" s="103"/>
      <x:c r="F33" s="103"/>
      <x:c r="G33" s="103"/>
      <x:c r="H33" s="281" t="s">
        <x:v>97</x:v>
      </x:c>
      <x:c r="I33" s="786" t="str">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v>Areas Acceptable ✓</x:v>
      </x:c>
      <x:c r="J33" s="786"/>
      <x:c r="K33" s="786"/>
      <x:c r="L33" s="786"/>
      <x:c r="M33" s="786"/>
      <x:c r="N33" s="787"/>
      <x:c r="O33" s="157">
        <x:f>IFERROR(FIND("Error",I33),0)</x:f>
        <x:v>0</x:v>
      </x:c>
      <x:c r="R33" s="104"/>
    </x:row>
    <x:row r="34" spans="2:34" s="25" customFormat="1" x14ac:dyDescent="0.3">
      <x:c r="D34" s="89"/>
      <x:c r="E34" s="103"/>
      <x:c r="F34" s="103"/>
      <x:c r="G34" s="103"/>
      <x:c r="H34" s="282" t="s">
        <x:v>98</x:v>
      </x:c>
      <x:c r="I34" s="788" t="str">
        <x:f>IF(I32&lt;J32+K32,"Error - Areas Retained and Enhanced Exceed Total Area ▲","Areas Acceptable ✓")</x:f>
        <x:v>Areas Acceptable ✓</x:v>
      </x:c>
      <x:c r="J34" s="788"/>
      <x:c r="K34" s="788"/>
      <x:c r="L34" s="788"/>
      <x:c r="M34" s="788"/>
      <x:c r="N34" s="789"/>
      <x:c r="O34" s="157">
        <x:f>IFERROR(FIND("Error",I34),0)</x:f>
        <x:v>0</x:v>
      </x:c>
      <x:c r="R34" s="104"/>
    </x:row>
    <x:row r="35" spans="2:34" s="25" customFormat="1" ht="15" thickBot="1" x14ac:dyDescent="0.35">
      <x:c r="D35" s="89"/>
      <x:c r="E35" s="103"/>
      <x:c r="F35" s="103"/>
      <x:c r="G35" s="103"/>
      <x:c r="H35" s="272" t="s">
        <x:v>99</x:v>
      </x:c>
      <x:c r="I35" s="763" t="str">
        <x:f>IF(I32=0,"Areas Acceptable ✓",IF(I32&lt;&gt;'3. Desktop Assessment'!C7,"Error - Areas Entered Does Not Match Stated Site Area ▲","Areas Acceptable ✓"))</x:f>
        <x:v>Areas Acceptable ✓</x:v>
      </x:c>
      <x:c r="J35" s="763"/>
      <x:c r="K35" s="763"/>
      <x:c r="L35" s="763"/>
      <x:c r="M35" s="763"/>
      <x:c r="N35" s="764"/>
      <x:c r="O35" s="157">
        <x:f>IFERROR(FIND("Error",I35),0)</x:f>
        <x:v>0</x:v>
      </x:c>
      <x:c r="R35" s="652" t="s">
        <x:v>55</x:v>
      </x:c>
    </x:row>
    <x:row r="36" spans="2:34" s="25" customFormat="1" ht="21" x14ac:dyDescent="0.4">
      <x:c r="B36" s="57" t="s">
        <x:v>100</x:v>
      </x:c>
      <x:c r="D36" s="88"/>
      <x:c r="E36" s="103"/>
      <x:c r="F36" s="103"/>
      <x:c r="G36" s="103"/>
      <x:c r="I36" s="26"/>
      <x:c r="O36" s="157">
        <x:f>COUNTIF(L11:N30,"*"&amp;"error"&amp;"*")</x:f>
        <x:v>0</x:v>
      </x:c>
      <x:c r="R36" s="652"/>
    </x:row>
    <x:row r="37" spans="2:34" s="25" customFormat="1" ht="15.75" customHeight="1" thickBot="1" x14ac:dyDescent="0.35">
      <x:c r="R37" s="652"/>
    </x:row>
    <x:row r="38" spans="2:34" s="25" customFormat="1" ht="16.2" customHeight="1" x14ac:dyDescent="0.3">
      <x:c r="B38" s="734" t="s">
        <x:v>49</x:v>
      </x:c>
      <x:c r="C38" s="724"/>
      <x:c r="D38" s="737"/>
      <x:c r="E38" s="723" t="s">
        <x:v>101</x:v>
      </x:c>
      <x:c r="F38" s="783"/>
      <x:c r="G38" s="725"/>
      <x:c r="H38" s="783" t="s">
        <x:v>102</x:v>
      </x:c>
      <x:c r="I38" s="755" t="s">
        <x:v>103</x:v>
      </x:c>
      <x:c r="J38" s="756"/>
      <x:c r="K38" s="757"/>
      <x:c r="L38" s="768" t="s">
        <x:v>104</x:v>
      </x:c>
      <x:c r="M38" s="724"/>
      <x:c r="N38" s="737"/>
      <x:c r="O38" s="723" t="s">
        <x:v>68</x:v>
      </x:c>
      <x:c r="P38" s="725"/>
      <x:c r="R38" s="652"/>
      <x:c r="T38" s="680" t="s">
        <x:v>69</x:v>
      </x:c>
      <x:c r="U38" s="681"/>
      <x:c r="V38" s="682"/>
      <x:c r="W38" s="761" t="s">
        <x:v>70</x:v>
      </x:c>
      <x:c r="X38" s="682"/>
      <x:c r="Y38" s="762"/>
      <x:c r="Z38" s="762"/>
      <x:c r="AA38" s="762"/>
      <x:c r="AB38" s="680" t="s">
        <x:v>71</x:v>
      </x:c>
      <x:c r="AC38" s="681"/>
      <x:c r="AD38" s="682"/>
      <x:c r="AE38" s="680" t="s">
        <x:v>105</x:v>
      </x:c>
      <x:c r="AF38" s="682"/>
      <x:c r="AG38" s="680" t="s">
        <x:v>106</x:v>
      </x:c>
      <x:c r="AH38" s="682"/>
    </x:row>
    <x:row r="39" spans="2:34" s="25" customFormat="1" ht="31.8" thickBot="1" x14ac:dyDescent="0.35">
      <x:c r="B39" s="735"/>
      <x:c r="C39" s="197" t="s">
        <x:v>75</x:v>
      </x:c>
      <x:c r="D39" s="198" t="s">
        <x:v>107</x:v>
      </x:c>
      <x:c r="E39" s="86" t="s">
        <x:v>108</x:v>
      </x:c>
      <x:c r="F39" s="721" t="s">
        <x:v>109</x:v>
      </x:c>
      <x:c r="G39" s="722"/>
      <x:c r="H39" s="784"/>
      <x:c r="I39" s="758"/>
      <x:c r="J39" s="759"/>
      <x:c r="K39" s="760"/>
      <x:c r="L39" s="769"/>
      <x:c r="M39" s="770"/>
      <x:c r="N39" s="721"/>
      <x:c r="O39" s="86" t="s">
        <x:v>83</x:v>
      </x:c>
      <x:c r="P39" s="90" t="s">
        <x:v>84</x:v>
      </x:c>
      <x:c r="R39" s="652"/>
      <x:c r="T39" s="678" t="s">
        <x:v>85</x:v>
      </x:c>
      <x:c r="U39" s="679"/>
      <x:c r="V39" s="92" t="s">
        <x:v>86</x:v>
      </x:c>
      <x:c r="W39" s="334" t="s">
        <x:v>87</x:v>
      </x:c>
      <x:c r="X39" s="92" t="s">
        <x:v>86</x:v>
      </x:c>
      <x:c r="Y39" s="346"/>
      <x:c r="Z39" s="346"/>
      <x:c r="AA39" s="346"/>
      <x:c r="AB39" s="91" t="s">
        <x:v>71</x:v>
      </x:c>
      <x:c r="AC39" s="49" t="s">
        <x:v>71</x:v>
      </x:c>
      <x:c r="AD39" s="92" t="s">
        <x:v>88</x:v>
      </x:c>
      <x:c r="AE39" s="91" t="s">
        <x:v>110</x:v>
      </x:c>
      <x:c r="AF39" s="92" t="s">
        <x:v>111</x:v>
      </x:c>
      <x:c r="AG39" s="91" t="s">
        <x:v>112</x:v>
      </x:c>
      <x:c r="AH39" s="92" t="s">
        <x:v>113</x:v>
      </x:c>
    </x:row>
    <x:row r="40" spans="2:34" s="25" customFormat="1" ht="15.6" x14ac:dyDescent="0.3">
      <x:c r="B40" s="263">
        <x:v>1</x:v>
      </x:c>
      <x:c r="C40" s="76" t="inlineStr">
        <x:v/>
        <x:is>
          <x:t xml:space="preserve">Urban</x:t>
        </x:is>
      </x:c>
      <x:c r="D40" s="73" t="inlineStr">
        <x:v/>
        <x:is>
          <x:t xml:space="preserve">Developed land; sealed surface</x:t>
        </x:is>
      </x:c>
      <x:c r="E40" s="342" t="str">
        <x:f>IF(D40="","",VLOOKUP(D40,'10. Condition and Temporal'!$B$6:$D$103,3,FALSE))</x:f>
        <x:v/>
      </x:c>
      <x:c r="F40" s="824" t="inlineStr">
        <x:v/>
        <x:is>
          <x:t xml:space="preserve">N/A - Other</x:t>
        </x:is>
      </x:c>
      <x:c r="G40" s="825"/>
      <x:c r="H40" s="72" t="inlineStr">
        <x:v/>
        <x:is>
          <x:t xml:space="preserve">Area/compensation not in local strategy/ no local strategy</x:t>
        </x:is>
      </x:c>
      <x:c r="I40" s="716" t="n">
        <x:v>33.0559</x:v>
      </x:c>
      <x:c r="J40" s="717"/>
      <x:c r="K40" s="718"/>
      <x:c r="L40" s="709" t="str">
        <x:f>IF(C40="","",IFERROR(IF(I40="","",((I40/10000)*(V40*X40))*(AH40*AF40)*AD40),"This intervention is not permitted within the SSM ▲"))</x:f>
        <x:v/>
      </x:c>
      <x:c r="M40" s="686"/>
      <x:c r="N40" s="710"/>
      <x:c r="O40" s="2" t="inlineStr">
        <x:v/>
        <x:is>
          <x:t xml:space="preserve"/>
        </x:is>
      </x:c>
      <x:c r="P40" s="1"/>
      <x:c r="Q40" s="106"/>
      <x:c r="R40" s="652"/>
      <x:c r="T40" s="661" t="str">
        <x:f>IF(C40="","",VLOOKUP(D40,'9. All Habitats + Multipliers'!$C$4:$K$102,5,FALSE))</x:f>
        <x:v/>
      </x:c>
      <x:c r="U40" s="662"/>
      <x:c r="V40" s="94" t="str">
        <x:f>IF(T40="","",VLOOKUP(T40,'11. Lists'!$B$47:$D$49,2,FALSE))</x:f>
        <x:v/>
      </x:c>
      <x:c r="W40" s="184" t="str">
        <x:f>IF(F40="","",F40)</x:f>
        <x:v/>
      </x:c>
      <x:c r="X40" s="94" t="str">
        <x:f>IF(W40="","",VLOOKUP(W40,'11. Lists'!$F$47:$G$51,2,FALSE))</x:f>
        <x:v/>
      </x:c>
      <x:c r="Y40" s="48"/>
      <x:c r="Z40" s="48"/>
      <x:c r="AA40" s="48"/>
      <x:c r="AB40" s="93" t="str">
        <x:f>IF(H40="","",H40)</x:f>
        <x:v/>
      </x:c>
      <x:c r="AC40" s="95" t="str">
        <x:f>IF(AB40="","",VLOOKUP(AB40,'11. Lists'!$F$36:$H$38,2,FALSE))</x:f>
        <x:v/>
      </x:c>
      <x:c r="AD40" s="94" t="str">
        <x:f>IF(AB40="","",VLOOKUP(AB40,'11. Lists'!$F$36:$H$38,3,FALSE))</x:f>
        <x:v/>
      </x:c>
      <x:c r="AE40" s="93" t="str">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v/>
      </x:c>
      <x:c r="AF40" s="107" t="str">
        <x:f>IF(AE40="","",VLOOKUP(AE40,'11. Lists'!$I$47:$K$80,3,FALSE))</x:f>
        <x:v/>
      </x:c>
      <x:c r="AG40" s="93" t="str">
        <x:f>IF(D40="","",VLOOKUP(D40,'9. All Habitats + Multipliers'!$C$4:$K$102,7,FALSE))</x:f>
        <x:v/>
      </x:c>
      <x:c r="AH40" s="94" t="str">
        <x:f>IF(AG40="","",VLOOKUP(AG40,'11. Lists'!$J$35:$K$38,2,FALSE))</x:f>
        <x:v/>
      </x:c>
    </x:row>
    <x:row r="41" spans="2:34" s="25" customFormat="1" ht="15.6" x14ac:dyDescent="0.3">
      <x:c r="B41" s="264">
        <x:v>2</x:v>
      </x:c>
      <x:c r="C41" s="77" t="inlineStr">
        <x:v/>
        <x:is>
          <x:t xml:space="preserve">Urban</x:t>
        </x:is>
      </x:c>
      <x:c r="D41" s="73" t="inlineStr">
        <x:v/>
        <x:is>
          <x:t xml:space="preserve">Developed land; sealed surface</x:t>
        </x:is>
      </x:c>
      <x:c r="E41" s="342" t="str">
        <x:f>IF(D41="","",VLOOKUP(D41,'10. Condition and Temporal'!$B$6:$D$103,3,FALSE))</x:f>
        <x:v/>
      </x:c>
      <x:c r="F41" s="707" t="inlineStr">
        <x:v/>
        <x:is>
          <x:t xml:space="preserve">N/A - Other</x:t>
        </x:is>
      </x:c>
      <x:c r="G41" s="708"/>
      <x:c r="H41" s="71" t="inlineStr">
        <x:v/>
        <x:is>
          <x:t xml:space="preserve">Area/compensation not in local strategy/ no local strategy</x:t>
        </x:is>
      </x:c>
      <x:c r="I41" s="716" t="n">
        <x:v>11.3797</x:v>
      </x:c>
      <x:c r="J41" s="717"/>
      <x:c r="K41" s="718"/>
      <x:c r="L41" s="709" t="str">
        <x:f t="shared" ref="L41:L59" si="7">IF(C41="","",IFERROR(IF(I41="","",((I41/10000)*(V41*X41))*(AH41*AF41)*AD41),"This intervention is not permitted within the SSM ▲"))</x:f>
        <x:v/>
      </x:c>
      <x:c r="M41" s="686"/>
      <x:c r="N41" s="710"/>
      <x:c r="O41" s="61" t="inlineStr">
        <x:v/>
        <x:is>
          <x:t xml:space="preserve"/>
        </x:is>
      </x:c>
      <x:c r="P41" s="12"/>
      <x:c r="Q41" s="106"/>
      <x:c r="R41" s="652"/>
      <x:c r="T41" s="661" t="str">
        <x:f>IF(C41="","",VLOOKUP(D41,'9. All Habitats + Multipliers'!$C$4:$K$102,5,FALSE))</x:f>
        <x:v/>
      </x:c>
      <x:c r="U41" s="662"/>
      <x:c r="V41" s="94" t="str">
        <x:f>IF(T41="","",VLOOKUP(T41,'11. Lists'!$B$47:$D$49,2,FALSE))</x:f>
        <x:v/>
      </x:c>
      <x:c r="W41" s="184" t="str">
        <x:f>IF(F41="","",F41)</x:f>
        <x:v/>
      </x:c>
      <x:c r="X41" s="94" t="str">
        <x:f>IF(W41="","",VLOOKUP(W41,'11. Lists'!$F$47:$G$51,2,FALSE))</x:f>
        <x:v/>
      </x:c>
      <x:c r="Y41" s="48"/>
      <x:c r="Z41" s="48"/>
      <x:c r="AA41" s="48"/>
      <x:c r="AB41" s="93" t="str">
        <x:f t="shared" ref="AB41:AB60" si="8">IF(H41="","",H41)</x:f>
        <x:v/>
      </x:c>
      <x:c r="AC41" s="95" t="str">
        <x:f>IF(AB41="","",VLOOKUP(AB41,'11. Lists'!$F$36:$H$38,2,FALSE))</x:f>
        <x:v/>
      </x:c>
      <x:c r="AD41" s="94" t="str">
        <x:f>IF(AB41="","",VLOOKUP(AB41,'11. Lists'!$F$36:$H$38,3,FALSE))</x:f>
        <x:v/>
      </x:c>
      <x:c r="AE41" s="93" t="str">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v/>
      </x:c>
      <x:c r="AF41" s="107" t="str">
        <x:f>IF(AE41="","",VLOOKUP(AE41,'11. Lists'!$I$47:$K$80,3,FALSE))</x:f>
        <x:v/>
      </x:c>
      <x:c r="AG41" s="93" t="str">
        <x:f>IF(D41="","",VLOOKUP(D41,'9. All Habitats + Multipliers'!$C$4:$K$102,7,FALSE))</x:f>
        <x:v/>
      </x:c>
      <x:c r="AH41" s="94" t="str">
        <x:f>IF(AG41="","",VLOOKUP(AG41,'11. Lists'!$J$35:$K$38,2,FALSE))</x:f>
        <x:v/>
      </x:c>
    </x:row>
    <x:row r="42" spans="2:34" s="25" customFormat="1" ht="15.6" x14ac:dyDescent="0.3">
      <x:c r="B42" s="264">
        <x:v>3</x:v>
      </x:c>
      <x:c r="C42" s="77" t="inlineStr">
        <x:v/>
        <x:is>
          <x:t xml:space="preserve">Urban</x:t>
        </x:is>
      </x:c>
      <x:c r="D42" s="73" t="inlineStr">
        <x:v/>
        <x:is>
          <x:t xml:space="preserve">Developed land; sealed surface</x:t>
        </x:is>
      </x:c>
      <x:c r="E42" s="342" t="str">
        <x:f>IF(D42="","",VLOOKUP(D42,'10. Condition and Temporal'!$B$6:$D$103,3,FALSE))</x:f>
        <x:v/>
      </x:c>
      <x:c r="F42" s="707" t="inlineStr">
        <x:v/>
        <x:is>
          <x:t xml:space="preserve">N/A - Other</x:t>
        </x:is>
      </x:c>
      <x:c r="G42" s="708"/>
      <x:c r="H42" s="71" t="inlineStr">
        <x:v/>
        <x:is>
          <x:t xml:space="preserve">Area/compensation not in local strategy/ no local strategy</x:t>
        </x:is>
      </x:c>
      <x:c r="I42" s="716" t="n">
        <x:v>61.217</x:v>
      </x:c>
      <x:c r="J42" s="717"/>
      <x:c r="K42" s="718"/>
      <x:c r="L42" s="709" t="str">
        <x:f t="shared" si="7"/>
        <x:v/>
      </x:c>
      <x:c r="M42" s="686"/>
      <x:c r="N42" s="710"/>
      <x:c r="O42" s="61" t="inlineStr">
        <x:v/>
        <x:is>
          <x:t xml:space="preserve"/>
        </x:is>
      </x:c>
      <x:c r="P42" s="12"/>
      <x:c r="Q42" s="106"/>
      <x:c r="R42" s="652"/>
      <x:c r="T42" s="661" t="str">
        <x:f>IF(C42="","",VLOOKUP(D42,'9. All Habitats + Multipliers'!$C$4:$K$102,5,FALSE))</x:f>
        <x:v/>
      </x:c>
      <x:c r="U42" s="662"/>
      <x:c r="V42" s="94" t="str">
        <x:f>IF(T42="","",VLOOKUP(T42,'11. Lists'!$B$47:$D$49,2,FALSE))</x:f>
        <x:v/>
      </x:c>
      <x:c r="W42" s="184" t="str">
        <x:f>IF(F42="","",F42)</x:f>
        <x:v/>
      </x:c>
      <x:c r="X42" s="94" t="str">
        <x:f>IF(W42="","",VLOOKUP(W42,'11. Lists'!$F$47:$G$51,2,FALSE))</x:f>
        <x:v/>
      </x:c>
      <x:c r="Y42" s="48"/>
      <x:c r="Z42" s="48"/>
      <x:c r="AA42" s="48"/>
      <x:c r="AB42" s="93" t="str">
        <x:f t="shared" si="8"/>
        <x:v/>
      </x:c>
      <x:c r="AC42" s="95" t="str">
        <x:f>IF(AB42="","",VLOOKUP(AB42,'11. Lists'!$F$36:$H$38,2,FALSE))</x:f>
        <x:v/>
      </x:c>
      <x:c r="AD42" s="94" t="str">
        <x:f>IF(AB42="","",VLOOKUP(AB42,'11. Lists'!$F$36:$H$38,3,FALSE))</x:f>
        <x:v/>
      </x:c>
      <x:c r="AE42" s="93" t="str">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v/>
      </x:c>
      <x:c r="AF42" s="107" t="str">
        <x:f>IF(AE42="","",VLOOKUP(AE42,'11. Lists'!$I$47:$K$80,3,FALSE))</x:f>
        <x:v/>
      </x:c>
      <x:c r="AG42" s="93" t="str">
        <x:f>IF(D42="","",VLOOKUP(D42,'9. All Habitats + Multipliers'!$C$4:$K$102,7,FALSE))</x:f>
        <x:v/>
      </x:c>
      <x:c r="AH42" s="94" t="str">
        <x:f>IF(AG42="","",VLOOKUP(AG42,'11. Lists'!$J$35:$K$38,2,FALSE))</x:f>
        <x:v/>
      </x:c>
    </x:row>
    <x:row r="43" spans="2:34" s="25" customFormat="1" ht="15.6" x14ac:dyDescent="0.3">
      <x:c r="B43" s="264">
        <x:v>4</x:v>
      </x:c>
      <x:c r="C43" s="77" t="inlineStr">
        <x:v/>
        <x:is>
          <x:t xml:space="preserve">Urban</x:t>
        </x:is>
      </x:c>
      <x:c r="D43" s="73" t="inlineStr">
        <x:v/>
        <x:is>
          <x:t xml:space="preserve">Introduced shrub</x:t>
        </x:is>
      </x:c>
      <x:c r="E43" s="342" t="str">
        <x:f>IF(D43="","",VLOOKUP(D43,'10. Condition and Temporal'!$B$6:$D$103,3,FALSE))</x:f>
        <x:v/>
      </x:c>
      <x:c r="F43" s="707" t="inlineStr">
        <x:v/>
        <x:is>
          <x:t xml:space="preserve">Condition Assessment N/A</x:t>
        </x:is>
      </x:c>
      <x:c r="G43" s="708"/>
      <x:c r="H43" s="71" t="inlineStr">
        <x:v/>
        <x:is>
          <x:t xml:space="preserve">Area/compensation not in local strategy/ no local strategy</x:t>
        </x:is>
      </x:c>
      <x:c r="I43" s="716" t="n">
        <x:v>7.0506</x:v>
      </x:c>
      <x:c r="J43" s="717"/>
      <x:c r="K43" s="718"/>
      <x:c r="L43" s="709" t="str">
        <x:f t="shared" si="7"/>
        <x:v/>
      </x:c>
      <x:c r="M43" s="686"/>
      <x:c r="N43" s="710"/>
      <x:c r="O43" s="61" t="inlineStr">
        <x:v/>
        <x:is>
          <x:t xml:space="preserve"/>
        </x:is>
      </x:c>
      <x:c r="P43" s="12"/>
      <x:c r="Q43" s="106"/>
      <x:c r="R43" s="652"/>
      <x:c r="T43" s="661" t="str">
        <x:f>IF(C43="","",VLOOKUP(D43,'9. All Habitats + Multipliers'!$C$4:$K$102,5,FALSE))</x:f>
        <x:v/>
      </x:c>
      <x:c r="U43" s="662"/>
      <x:c r="V43" s="94" t="str">
        <x:f>IF(T43="","",VLOOKUP(T43,'11. Lists'!$B$47:$D$49,2,FALSE))</x:f>
        <x:v/>
      </x:c>
      <x:c r="W43" s="184" t="str">
        <x:f>IF(F43="","",F43)</x:f>
        <x:v/>
      </x:c>
      <x:c r="X43" s="94" t="str">
        <x:f>IF(W43="","",VLOOKUP(W43,'11. Lists'!$F$47:$G$51,2,FALSE))</x:f>
        <x:v/>
      </x:c>
      <x:c r="Y43" s="48"/>
      <x:c r="Z43" s="48"/>
      <x:c r="AA43" s="48"/>
      <x:c r="AB43" s="93" t="str">
        <x:f t="shared" si="8"/>
        <x:v/>
      </x:c>
      <x:c r="AC43" s="95" t="str">
        <x:f>IF(AB43="","",VLOOKUP(AB43,'11. Lists'!$F$36:$H$38,2,FALSE))</x:f>
        <x:v/>
      </x:c>
      <x:c r="AD43" s="94" t="str">
        <x:f>IF(AB43="","",VLOOKUP(AB43,'11. Lists'!$F$36:$H$38,3,FALSE))</x:f>
        <x:v/>
      </x:c>
      <x:c r="AE43" s="93" t="str">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v/>
      </x:c>
      <x:c r="AF43" s="107" t="str">
        <x:f>IF(AE43="","",VLOOKUP(AE43,'11. Lists'!$I$47:$K$80,3,FALSE))</x:f>
        <x:v/>
      </x:c>
      <x:c r="AG43" s="93" t="str">
        <x:f>IF(D43="","",VLOOKUP(D43,'9. All Habitats + Multipliers'!$C$4:$K$102,7,FALSE))</x:f>
        <x:v/>
      </x:c>
      <x:c r="AH43" s="94" t="str">
        <x:f>IF(AG43="","",VLOOKUP(AG43,'11. Lists'!$J$35:$K$38,2,FALSE))</x:f>
        <x:v/>
      </x:c>
    </x:row>
    <x:row r="44" spans="2:34" s="25" customFormat="1" ht="15.6" x14ac:dyDescent="0.3">
      <x:c r="B44" s="264">
        <x:v>5</x:v>
      </x:c>
      <x:c r="C44" s="77" t="inlineStr">
        <x:v/>
        <x:is>
          <x:t xml:space="preserve">Urban</x:t>
        </x:is>
      </x:c>
      <x:c r="D44" s="73" t="inlineStr">
        <x:v/>
        <x:is>
          <x:t xml:space="preserve">Vegetated garden</x:t>
        </x:is>
      </x:c>
      <x:c r="E44" s="342" t="str">
        <x:f>IF(D44="","",VLOOKUP(D44,'10. Condition and Temporal'!$B$6:$D$103,3,FALSE))</x:f>
        <x:v/>
      </x:c>
      <x:c r="F44" s="707" t="inlineStr">
        <x:v/>
        <x:is>
          <x:t xml:space="preserve">Condition Assessment N/A</x:t>
        </x:is>
      </x:c>
      <x:c r="G44" s="708"/>
      <x:c r="H44" s="71" t="inlineStr">
        <x:v/>
        <x:is>
          <x:t xml:space="preserve">Area/compensation not in local strategy/ no local strategy</x:t>
        </x:is>
      </x:c>
      <x:c r="I44" s="716" t="n">
        <x:v>48.6234</x:v>
      </x:c>
      <x:c r="J44" s="717"/>
      <x:c r="K44" s="718"/>
      <x:c r="L44" s="709" t="str">
        <x:f t="shared" si="7"/>
        <x:v/>
      </x:c>
      <x:c r="M44" s="686"/>
      <x:c r="N44" s="710"/>
      <x:c r="O44" s="61" t="inlineStr">
        <x:v/>
        <x:is>
          <x:t xml:space="preserve"/>
        </x:is>
      </x:c>
      <x:c r="P44" s="12"/>
      <x:c r="R44" s="652"/>
      <x:c r="T44" s="661" t="str">
        <x:f>IF(C44="","",VLOOKUP(D44,'9. All Habitats + Multipliers'!$C$4:$K$102,5,FALSE))</x:f>
        <x:v/>
      </x:c>
      <x:c r="U44" s="662"/>
      <x:c r="V44" s="94" t="str">
        <x:f>IF(T44="","",VLOOKUP(T44,'11. Lists'!$B$47:$D$49,2,FALSE))</x:f>
        <x:v/>
      </x:c>
      <x:c r="W44" s="184" t="str">
        <x:f t="shared" ref="W44:W59" si="9">IF(F44="","",F44)</x:f>
        <x:v/>
      </x:c>
      <x:c r="X44" s="94" t="str">
        <x:f>IF(W44="","",VLOOKUP(W44,'11. Lists'!$F$47:$G$51,2,FALSE))</x:f>
        <x:v/>
      </x:c>
      <x:c r="Y44" s="48"/>
      <x:c r="Z44" s="48"/>
      <x:c r="AA44" s="48"/>
      <x:c r="AB44" s="93" t="str">
        <x:f t="shared" si="8"/>
        <x:v/>
      </x:c>
      <x:c r="AC44" s="95" t="str">
        <x:f>IF(AB44="","",VLOOKUP(AB44,'11. Lists'!$F$36:$H$38,2,FALSE))</x:f>
        <x:v/>
      </x:c>
      <x:c r="AD44" s="94" t="str">
        <x:f>IF(AB44="","",VLOOKUP(AB44,'11. Lists'!$F$36:$H$38,3,FALSE))</x:f>
        <x:v/>
      </x:c>
      <x:c r="AE44" s="93" t="str">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v/>
      </x:c>
      <x:c r="AF44" s="107" t="str">
        <x:f>IF(AE44="","",VLOOKUP(AE44,'11. Lists'!$I$47:$K$80,3,FALSE))</x:f>
        <x:v/>
      </x:c>
      <x:c r="AG44" s="93" t="str">
        <x:f>IF(D44="","",VLOOKUP(D44,'9. All Habitats + Multipliers'!$C$4:$K$102,7,FALSE))</x:f>
        <x:v/>
      </x:c>
      <x:c r="AH44" s="94" t="str">
        <x:f>IF(AG44="","",VLOOKUP(AG44,'11. Lists'!$J$35:$K$38,2,FALSE))</x:f>
        <x:v/>
      </x:c>
    </x:row>
    <x:row r="45" spans="2:34" s="25" customFormat="1" ht="15.6" x14ac:dyDescent="0.3">
      <x:c r="B45" s="264">
        <x:v>6</x:v>
      </x:c>
      <x:c r="C45" s="77"/>
      <x:c r="D45" s="73"/>
      <x:c r="E45" s="342" t="str">
        <x:f>IF(D45="","",VLOOKUP(D45,'10. Condition and Temporal'!$B$6:$D$103,3,FALSE))</x:f>
        <x:v/>
      </x:c>
      <x:c r="F45" s="707"/>
      <x:c r="G45" s="708"/>
      <x:c r="H45" s="71"/>
      <x:c r="I45" s="716"/>
      <x:c r="J45" s="717"/>
      <x:c r="K45" s="718"/>
      <x:c r="L45" s="709" t="str">
        <x:f t="shared" si="7"/>
        <x:v/>
      </x:c>
      <x:c r="M45" s="686"/>
      <x:c r="N45" s="710"/>
      <x:c r="O45" s="61"/>
      <x:c r="P45" s="12"/>
      <x:c r="R45" s="652"/>
      <x:c r="T45" s="661" t="str">
        <x:f>IF(C45="","",VLOOKUP(D45,'9. All Habitats + Multipliers'!$C$4:$K$102,5,FALSE))</x:f>
        <x:v/>
      </x:c>
      <x:c r="U45" s="662"/>
      <x:c r="V45" s="94" t="str">
        <x:f>IF(T45="","",VLOOKUP(T45,'11. Lists'!$B$47:$D$49,2,FALSE))</x:f>
        <x:v/>
      </x:c>
      <x:c r="W45" s="184" t="str">
        <x:f t="shared" si="9"/>
        <x:v/>
      </x:c>
      <x:c r="X45" s="94" t="str">
        <x:f>IF(W45="","",VLOOKUP(W45,'11. Lists'!$F$47:$G$51,2,FALSE))</x:f>
        <x:v/>
      </x:c>
      <x:c r="Y45" s="48"/>
      <x:c r="Z45" s="48"/>
      <x:c r="AA45" s="48"/>
      <x:c r="AB45" s="93" t="str">
        <x:f t="shared" si="8"/>
        <x:v/>
      </x:c>
      <x:c r="AC45" s="95" t="str">
        <x:f>IF(AB45="","",VLOOKUP(AB45,'11. Lists'!$F$36:$H$38,2,FALSE))</x:f>
        <x:v/>
      </x:c>
      <x:c r="AD45" s="94" t="str">
        <x:f>IF(AB45="","",VLOOKUP(AB45,'11. Lists'!$F$36:$H$38,3,FALSE))</x:f>
        <x:v/>
      </x:c>
      <x:c r="AE45" s="93" t="str">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v/>
      </x:c>
      <x:c r="AF45" s="107" t="str">
        <x:f>IF(AE45="","",VLOOKUP(AE45,'11. Lists'!$I$47:$K$80,3,FALSE))</x:f>
        <x:v/>
      </x:c>
      <x:c r="AG45" s="93" t="str">
        <x:f>IF(D45="","",VLOOKUP(D45,'9. All Habitats + Multipliers'!$C$4:$K$102,7,FALSE))</x:f>
        <x:v/>
      </x:c>
      <x:c r="AH45" s="94" t="str">
        <x:f>IF(AG45="","",VLOOKUP(AG45,'11. Lists'!$J$35:$K$38,2,FALSE))</x:f>
        <x:v/>
      </x:c>
    </x:row>
    <x:row r="46" spans="2:34" s="25" customFormat="1" ht="15.6" x14ac:dyDescent="0.3">
      <x:c r="B46" s="264">
        <x:v>7</x:v>
      </x:c>
      <x:c r="C46" s="77"/>
      <x:c r="D46" s="73"/>
      <x:c r="E46" s="342" t="str">
        <x:f>IF(D46="","",VLOOKUP(D46,'10. Condition and Temporal'!$B$6:$D$103,3,FALSE))</x:f>
        <x:v/>
      </x:c>
      <x:c r="F46" s="707"/>
      <x:c r="G46" s="708"/>
      <x:c r="H46" s="71"/>
      <x:c r="I46" s="716"/>
      <x:c r="J46" s="717"/>
      <x:c r="K46" s="718"/>
      <x:c r="L46" s="709" t="str">
        <x:f t="shared" si="7"/>
        <x:v/>
      </x:c>
      <x:c r="M46" s="686"/>
      <x:c r="N46" s="710"/>
      <x:c r="O46" s="61"/>
      <x:c r="P46" s="12"/>
      <x:c r="R46" s="652"/>
      <x:c r="T46" s="661" t="str">
        <x:f>IF(C46="","",VLOOKUP(D46,'9. All Habitats + Multipliers'!$C$4:$K$102,5,FALSE))</x:f>
        <x:v/>
      </x:c>
      <x:c r="U46" s="662"/>
      <x:c r="V46" s="94" t="str">
        <x:f>IF(T46="","",VLOOKUP(T46,'11. Lists'!$B$47:$D$49,2,FALSE))</x:f>
        <x:v/>
      </x:c>
      <x:c r="W46" s="184" t="str">
        <x:f t="shared" si="9"/>
        <x:v/>
      </x:c>
      <x:c r="X46" s="94" t="str">
        <x:f>IF(W46="","",VLOOKUP(W46,'11. Lists'!$F$47:$G$51,2,FALSE))</x:f>
        <x:v/>
      </x:c>
      <x:c r="Y46" s="48"/>
      <x:c r="Z46" s="48"/>
      <x:c r="AA46" s="48"/>
      <x:c r="AB46" s="93" t="str">
        <x:f t="shared" si="8"/>
        <x:v/>
      </x:c>
      <x:c r="AC46" s="95" t="str">
        <x:f>IF(AB46="","",VLOOKUP(AB46,'11. Lists'!$F$36:$H$38,2,FALSE))</x:f>
        <x:v/>
      </x:c>
      <x:c r="AD46" s="94" t="str">
        <x:f>IF(AB46="","",VLOOKUP(AB46,'11. Lists'!$F$36:$H$38,3,FALSE))</x:f>
        <x:v/>
      </x:c>
      <x:c r="AE46" s="93" t="str">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v/>
      </x:c>
      <x:c r="AF46" s="107" t="str">
        <x:f>IF(AE46="","",VLOOKUP(AE46,'11. Lists'!$I$47:$K$80,3,FALSE))</x:f>
        <x:v/>
      </x:c>
      <x:c r="AG46" s="93" t="str">
        <x:f>IF(D46="","",VLOOKUP(D46,'9. All Habitats + Multipliers'!$C$4:$K$102,7,FALSE))</x:f>
        <x:v/>
      </x:c>
      <x:c r="AH46" s="94" t="str">
        <x:f>IF(AG46="","",VLOOKUP(AG46,'11. Lists'!$J$35:$K$38,2,FALSE))</x:f>
        <x:v/>
      </x:c>
    </x:row>
    <x:row r="47" spans="2:34" s="25" customFormat="1" ht="15.6" x14ac:dyDescent="0.3">
      <x:c r="B47" s="264">
        <x:v>8</x:v>
      </x:c>
      <x:c r="C47" s="77"/>
      <x:c r="D47" s="73"/>
      <x:c r="E47" s="342" t="str">
        <x:f>IF(D47="","",VLOOKUP(D47,'10. Condition and Temporal'!$B$6:$D$103,3,FALSE))</x:f>
        <x:v/>
      </x:c>
      <x:c r="F47" s="707"/>
      <x:c r="G47" s="708"/>
      <x:c r="H47" s="71"/>
      <x:c r="I47" s="716"/>
      <x:c r="J47" s="717"/>
      <x:c r="K47" s="718"/>
      <x:c r="L47" s="709" t="str">
        <x:f t="shared" si="7"/>
        <x:v/>
      </x:c>
      <x:c r="M47" s="686"/>
      <x:c r="N47" s="710"/>
      <x:c r="O47" s="61"/>
      <x:c r="P47" s="12"/>
      <x:c r="R47" s="652"/>
      <x:c r="T47" s="661" t="str">
        <x:f>IF(C47="","",VLOOKUP(D47,'9. All Habitats + Multipliers'!$C$4:$K$102,5,FALSE))</x:f>
        <x:v/>
      </x:c>
      <x:c r="U47" s="662"/>
      <x:c r="V47" s="94" t="str">
        <x:f>IF(T47="","",VLOOKUP(T47,'11. Lists'!$B$47:$D$49,2,FALSE))</x:f>
        <x:v/>
      </x:c>
      <x:c r="W47" s="184" t="str">
        <x:f t="shared" si="9"/>
        <x:v/>
      </x:c>
      <x:c r="X47" s="94" t="str">
        <x:f>IF(W47="","",VLOOKUP(W47,'11. Lists'!$F$47:$G$51,2,FALSE))</x:f>
        <x:v/>
      </x:c>
      <x:c r="Y47" s="48"/>
      <x:c r="Z47" s="48"/>
      <x:c r="AA47" s="48"/>
      <x:c r="AB47" s="93" t="str">
        <x:f t="shared" si="8"/>
        <x:v/>
      </x:c>
      <x:c r="AC47" s="95" t="str">
        <x:f>IF(AB47="","",VLOOKUP(AB47,'11. Lists'!$F$36:$H$38,2,FALSE))</x:f>
        <x:v/>
      </x:c>
      <x:c r="AD47" s="94" t="str">
        <x:f>IF(AB47="","",VLOOKUP(AB47,'11. Lists'!$F$36:$H$38,3,FALSE))</x:f>
        <x:v/>
      </x:c>
      <x:c r="AE47" s="93" t="str">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v/>
      </x:c>
      <x:c r="AF47" s="107" t="str">
        <x:f>IF(AE47="","",VLOOKUP(AE47,'11. Lists'!$I$47:$K$80,3,FALSE))</x:f>
        <x:v/>
      </x:c>
      <x:c r="AG47" s="93" t="str">
        <x:f>IF(D47="","",VLOOKUP(D47,'9. All Habitats + Multipliers'!$C$4:$K$102,7,FALSE))</x:f>
        <x:v/>
      </x:c>
      <x:c r="AH47" s="94" t="str">
        <x:f>IF(AG47="","",VLOOKUP(AG47,'11. Lists'!$J$35:$K$38,2,FALSE))</x:f>
        <x:v/>
      </x:c>
    </x:row>
    <x:row r="48" spans="2:34" s="25" customFormat="1" ht="15.6" x14ac:dyDescent="0.3">
      <x:c r="B48" s="264">
        <x:v>9</x:v>
      </x:c>
      <x:c r="C48" s="77"/>
      <x:c r="D48" s="73"/>
      <x:c r="E48" s="342" t="str">
        <x:f>IF(D48="","",VLOOKUP(D48,'10. Condition and Temporal'!$B$6:$D$103,3,FALSE))</x:f>
        <x:v/>
      </x:c>
      <x:c r="F48" s="707"/>
      <x:c r="G48" s="708"/>
      <x:c r="H48" s="71"/>
      <x:c r="I48" s="716"/>
      <x:c r="J48" s="717"/>
      <x:c r="K48" s="718"/>
      <x:c r="L48" s="709" t="str">
        <x:f t="shared" si="7"/>
        <x:v/>
      </x:c>
      <x:c r="M48" s="686"/>
      <x:c r="N48" s="710"/>
      <x:c r="O48" s="61"/>
      <x:c r="P48" s="12"/>
      <x:c r="R48" s="652"/>
      <x:c r="T48" s="661" t="str">
        <x:f>IF(C48="","",VLOOKUP(D48,'9. All Habitats + Multipliers'!$C$4:$K$102,5,FALSE))</x:f>
        <x:v/>
      </x:c>
      <x:c r="U48" s="662"/>
      <x:c r="V48" s="94" t="str">
        <x:f>IF(T48="","",VLOOKUP(T48,'11. Lists'!$B$47:$D$49,2,FALSE))</x:f>
        <x:v/>
      </x:c>
      <x:c r="W48" s="184" t="str">
        <x:f t="shared" si="9"/>
        <x:v/>
      </x:c>
      <x:c r="X48" s="94" t="str">
        <x:f>IF(W48="","",VLOOKUP(W48,'11. Lists'!$F$47:$G$51,2,FALSE))</x:f>
        <x:v/>
      </x:c>
      <x:c r="Y48" s="48"/>
      <x:c r="Z48" s="48"/>
      <x:c r="AA48" s="48"/>
      <x:c r="AB48" s="93" t="str">
        <x:f t="shared" si="8"/>
        <x:v/>
      </x:c>
      <x:c r="AC48" s="95" t="str">
        <x:f>IF(AB48="","",VLOOKUP(AB48,'11. Lists'!$F$36:$H$38,2,FALSE))</x:f>
        <x:v/>
      </x:c>
      <x:c r="AD48" s="94" t="str">
        <x:f>IF(AB48="","",VLOOKUP(AB48,'11. Lists'!$F$36:$H$38,3,FALSE))</x:f>
        <x:v/>
      </x:c>
      <x:c r="AE48" s="93" t="str">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v/>
      </x:c>
      <x:c r="AF48" s="107" t="str">
        <x:f>IF(AE48="","",VLOOKUP(AE48,'11. Lists'!$I$47:$K$80,3,FALSE))</x:f>
        <x:v/>
      </x:c>
      <x:c r="AG48" s="93" t="str">
        <x:f>IF(D48="","",VLOOKUP(D48,'9. All Habitats + Multipliers'!$C$4:$K$102,7,FALSE))</x:f>
        <x:v/>
      </x:c>
      <x:c r="AH48" s="94" t="str">
        <x:f>IF(AG48="","",VLOOKUP(AG48,'11. Lists'!$J$35:$K$38,2,FALSE))</x:f>
        <x:v/>
      </x:c>
    </x:row>
    <x:row r="49" spans="2:53" s="25" customFormat="1" ht="15.6" x14ac:dyDescent="0.3">
      <x:c r="B49" s="264">
        <x:v>10</x:v>
      </x:c>
      <x:c r="C49" s="78"/>
      <x:c r="D49" s="73"/>
      <x:c r="E49" s="342" t="str">
        <x:f>IF(D49="","",VLOOKUP(D49,'10. Condition and Temporal'!$B$6:$D$103,3,FALSE))</x:f>
        <x:v/>
      </x:c>
      <x:c r="F49" s="707"/>
      <x:c r="G49" s="708"/>
      <x:c r="H49" s="71"/>
      <x:c r="I49" s="716"/>
      <x:c r="J49" s="717"/>
      <x:c r="K49" s="718"/>
      <x:c r="L49" s="709" t="str">
        <x:f t="shared" si="7"/>
        <x:v/>
      </x:c>
      <x:c r="M49" s="686"/>
      <x:c r="N49" s="710"/>
      <x:c r="O49" s="61"/>
      <x:c r="P49" s="12"/>
      <x:c r="R49" s="652"/>
      <x:c r="T49" s="661" t="str">
        <x:f>IF(C49="","",VLOOKUP(D49,'9. All Habitats + Multipliers'!$C$4:$K$102,5,FALSE))</x:f>
        <x:v/>
      </x:c>
      <x:c r="U49" s="662"/>
      <x:c r="V49" s="94" t="str">
        <x:f>IF(T49="","",VLOOKUP(T49,'11. Lists'!$B$47:$D$49,2,FALSE))</x:f>
        <x:v/>
      </x:c>
      <x:c r="W49" s="184" t="str">
        <x:f t="shared" si="9"/>
        <x:v/>
      </x:c>
      <x:c r="X49" s="94" t="str">
        <x:f>IF(W49="","",VLOOKUP(W49,'11. Lists'!$F$47:$G$51,2,FALSE))</x:f>
        <x:v/>
      </x:c>
      <x:c r="Y49" s="48"/>
      <x:c r="Z49" s="48"/>
      <x:c r="AA49" s="48"/>
      <x:c r="AB49" s="93" t="str">
        <x:f t="shared" si="8"/>
        <x:v/>
      </x:c>
      <x:c r="AC49" s="95" t="str">
        <x:f>IF(AB49="","",VLOOKUP(AB49,'11. Lists'!$F$36:$H$38,2,FALSE))</x:f>
        <x:v/>
      </x:c>
      <x:c r="AD49" s="94" t="str">
        <x:f>IF(AB49="","",VLOOKUP(AB49,'11. Lists'!$F$36:$H$38,3,FALSE))</x:f>
        <x:v/>
      </x:c>
      <x:c r="AE49" s="93" t="str">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v/>
      </x:c>
      <x:c r="AF49" s="107" t="str">
        <x:f>IF(AE49="","",VLOOKUP(AE49,'11. Lists'!$I$47:$K$80,3,FALSE))</x:f>
        <x:v/>
      </x:c>
      <x:c r="AG49" s="93" t="str">
        <x:f>IF(D49="","",VLOOKUP(D49,'9. All Habitats + Multipliers'!$C$4:$K$102,7,FALSE))</x:f>
        <x:v/>
      </x:c>
      <x:c r="AH49" s="94" t="str">
        <x:f>IF(AG49="","",VLOOKUP(AG49,'11. Lists'!$J$35:$K$38,2,FALSE))</x:f>
        <x:v/>
      </x:c>
    </x:row>
    <x:row r="50" spans="2:53" s="25" customFormat="1" ht="15.6" x14ac:dyDescent="0.3">
      <x:c r="B50" s="264">
        <x:v>11</x:v>
      </x:c>
      <x:c r="C50" s="78"/>
      <x:c r="D50" s="73"/>
      <x:c r="E50" s="342" t="str">
        <x:f>IF(D50="","",VLOOKUP(D50,'10. Condition and Temporal'!$B$6:$D$103,3,FALSE))</x:f>
        <x:v/>
      </x:c>
      <x:c r="F50" s="707"/>
      <x:c r="G50" s="708"/>
      <x:c r="H50" s="71"/>
      <x:c r="I50" s="716"/>
      <x:c r="J50" s="717"/>
      <x:c r="K50" s="718"/>
      <x:c r="L50" s="709" t="str">
        <x:f t="shared" si="7"/>
        <x:v/>
      </x:c>
      <x:c r="M50" s="686"/>
      <x:c r="N50" s="710"/>
      <x:c r="O50" s="61"/>
      <x:c r="P50" s="12"/>
      <x:c r="R50" s="652"/>
      <x:c r="T50" s="661" t="str">
        <x:f>IF(C50="","",VLOOKUP(D50,'9. All Habitats + Multipliers'!$C$4:$K$102,5,FALSE))</x:f>
        <x:v/>
      </x:c>
      <x:c r="U50" s="662"/>
      <x:c r="V50" s="94" t="str">
        <x:f>IF(T50="","",VLOOKUP(T50,'11. Lists'!$B$47:$D$49,2,FALSE))</x:f>
        <x:v/>
      </x:c>
      <x:c r="W50" s="184" t="str">
        <x:f t="shared" si="9"/>
        <x:v/>
      </x:c>
      <x:c r="X50" s="94" t="str">
        <x:f>IF(W50="","",VLOOKUP(W50,'11. Lists'!$F$47:$G$51,2,FALSE))</x:f>
        <x:v/>
      </x:c>
      <x:c r="Y50" s="48"/>
      <x:c r="Z50" s="48"/>
      <x:c r="AA50" s="48"/>
      <x:c r="AB50" s="93" t="str">
        <x:f t="shared" si="8"/>
        <x:v/>
      </x:c>
      <x:c r="AC50" s="95" t="str">
        <x:f>IF(AB50="","",VLOOKUP(AB50,'11. Lists'!$F$36:$H$38,2,FALSE))</x:f>
        <x:v/>
      </x:c>
      <x:c r="AD50" s="94" t="str">
        <x:f>IF(AB50="","",VLOOKUP(AB50,'11. Lists'!$F$36:$H$38,3,FALSE))</x:f>
        <x:v/>
      </x:c>
      <x:c r="AE50" s="93" t="str">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v/>
      </x:c>
      <x:c r="AF50" s="107" t="str">
        <x:f>IF(AE50="","",VLOOKUP(AE50,'11. Lists'!$I$47:$K$80,3,FALSE))</x:f>
        <x:v/>
      </x:c>
      <x:c r="AG50" s="93" t="str">
        <x:f>IF(D50="","",VLOOKUP(D50,'9. All Habitats + Multipliers'!$C$4:$K$102,7,FALSE))</x:f>
        <x:v/>
      </x:c>
      <x:c r="AH50" s="94" t="str">
        <x:f>IF(AG50="","",VLOOKUP(AG50,'11. Lists'!$J$35:$K$38,2,FALSE))</x:f>
        <x:v/>
      </x:c>
    </x:row>
    <x:row r="51" spans="2:53" s="25" customFormat="1" ht="15.6" x14ac:dyDescent="0.3">
      <x:c r="B51" s="264">
        <x:v>12</x:v>
      </x:c>
      <x:c r="C51" s="78"/>
      <x:c r="D51" s="73"/>
      <x:c r="E51" s="342" t="str">
        <x:f>IF(D51="","",VLOOKUP(D51,'10. Condition and Temporal'!$B$6:$D$103,3,FALSE))</x:f>
        <x:v/>
      </x:c>
      <x:c r="F51" s="707"/>
      <x:c r="G51" s="708"/>
      <x:c r="H51" s="71"/>
      <x:c r="I51" s="716"/>
      <x:c r="J51" s="717"/>
      <x:c r="K51" s="718"/>
      <x:c r="L51" s="709" t="str">
        <x:f t="shared" si="7"/>
        <x:v/>
      </x:c>
      <x:c r="M51" s="686"/>
      <x:c r="N51" s="710"/>
      <x:c r="O51" s="61"/>
      <x:c r="P51" s="12"/>
      <x:c r="R51" s="652"/>
      <x:c r="T51" s="661" t="str">
        <x:f>IF(C51="","",VLOOKUP(D51,'9. All Habitats + Multipliers'!$C$4:$K$102,5,FALSE))</x:f>
        <x:v/>
      </x:c>
      <x:c r="U51" s="662"/>
      <x:c r="V51" s="94" t="str">
        <x:f>IF(T51="","",VLOOKUP(T51,'11. Lists'!$B$47:$D$49,2,FALSE))</x:f>
        <x:v/>
      </x:c>
      <x:c r="W51" s="184" t="str">
        <x:f t="shared" si="9"/>
        <x:v/>
      </x:c>
      <x:c r="X51" s="94" t="str">
        <x:f>IF(W51="","",VLOOKUP(W51,'11. Lists'!$F$47:$G$51,2,FALSE))</x:f>
        <x:v/>
      </x:c>
      <x:c r="Y51" s="48"/>
      <x:c r="Z51" s="48"/>
      <x:c r="AA51" s="48"/>
      <x:c r="AB51" s="93" t="str">
        <x:f t="shared" si="8"/>
        <x:v/>
      </x:c>
      <x:c r="AC51" s="95" t="str">
        <x:f>IF(AB51="","",VLOOKUP(AB51,'11. Lists'!$F$36:$H$38,2,FALSE))</x:f>
        <x:v/>
      </x:c>
      <x:c r="AD51" s="94" t="str">
        <x:f>IF(AB51="","",VLOOKUP(AB51,'11. Lists'!$F$36:$H$38,3,FALSE))</x:f>
        <x:v/>
      </x:c>
      <x:c r="AE51" s="93" t="str">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v/>
      </x:c>
      <x:c r="AF51" s="107" t="str">
        <x:f>IF(AE51="","",VLOOKUP(AE51,'11. Lists'!$I$47:$K$80,3,FALSE))</x:f>
        <x:v/>
      </x:c>
      <x:c r="AG51" s="93" t="str">
        <x:f>IF(D51="","",VLOOKUP(D51,'9. All Habitats + Multipliers'!$C$4:$K$102,7,FALSE))</x:f>
        <x:v/>
      </x:c>
      <x:c r="AH51" s="94" t="str">
        <x:f>IF(AG51="","",VLOOKUP(AG51,'11. Lists'!$J$35:$K$38,2,FALSE))</x:f>
        <x:v/>
      </x:c>
    </x:row>
    <x:row r="52" spans="2:53" s="25" customFormat="1" ht="15.6" x14ac:dyDescent="0.3">
      <x:c r="B52" s="264">
        <x:v>13</x:v>
      </x:c>
      <x:c r="C52" s="78"/>
      <x:c r="D52" s="73"/>
      <x:c r="E52" s="342" t="str">
        <x:f>IF(D52="","",VLOOKUP(D52,'10. Condition and Temporal'!$B$6:$D$103,3,FALSE))</x:f>
        <x:v/>
      </x:c>
      <x:c r="F52" s="707"/>
      <x:c r="G52" s="708"/>
      <x:c r="H52" s="71"/>
      <x:c r="I52" s="716"/>
      <x:c r="J52" s="717"/>
      <x:c r="K52" s="718"/>
      <x:c r="L52" s="709" t="str">
        <x:f t="shared" si="7"/>
        <x:v/>
      </x:c>
      <x:c r="M52" s="686"/>
      <x:c r="N52" s="710"/>
      <x:c r="O52" s="61"/>
      <x:c r="P52" s="12"/>
      <x:c r="R52" s="652"/>
      <x:c r="T52" s="661" t="str">
        <x:f>IF(C52="","",VLOOKUP(D52,'9. All Habitats + Multipliers'!$C$4:$K$102,5,FALSE))</x:f>
        <x:v/>
      </x:c>
      <x:c r="U52" s="662"/>
      <x:c r="V52" s="94" t="str">
        <x:f>IF(T52="","",VLOOKUP(T52,'11. Lists'!$B$47:$D$49,2,FALSE))</x:f>
        <x:v/>
      </x:c>
      <x:c r="W52" s="184" t="str">
        <x:f t="shared" si="9"/>
        <x:v/>
      </x:c>
      <x:c r="X52" s="94" t="str">
        <x:f>IF(W52="","",VLOOKUP(W52,'11. Lists'!$F$47:$G$51,2,FALSE))</x:f>
        <x:v/>
      </x:c>
      <x:c r="Y52" s="48"/>
      <x:c r="Z52" s="48"/>
      <x:c r="AA52" s="48"/>
      <x:c r="AB52" s="93" t="str">
        <x:f t="shared" si="8"/>
        <x:v/>
      </x:c>
      <x:c r="AC52" s="95" t="str">
        <x:f>IF(AB52="","",VLOOKUP(AB52,'11. Lists'!$F$36:$H$38,2,FALSE))</x:f>
        <x:v/>
      </x:c>
      <x:c r="AD52" s="94" t="str">
        <x:f>IF(AB52="","",VLOOKUP(AB52,'11. Lists'!$F$36:$H$38,3,FALSE))</x:f>
        <x:v/>
      </x:c>
      <x:c r="AE52" s="93" t="str">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v/>
      </x:c>
      <x:c r="AF52" s="107" t="str">
        <x:f>IF(AE52="","",VLOOKUP(AE52,'11. Lists'!$I$47:$K$80,3,FALSE))</x:f>
        <x:v/>
      </x:c>
      <x:c r="AG52" s="93" t="str">
        <x:f>IF(D52="","",VLOOKUP(D52,'9. All Habitats + Multipliers'!$C$4:$K$102,7,FALSE))</x:f>
        <x:v/>
      </x:c>
      <x:c r="AH52" s="94" t="str">
        <x:f>IF(AG52="","",VLOOKUP(AG52,'11. Lists'!$J$35:$K$38,2,FALSE))</x:f>
        <x:v/>
      </x:c>
    </x:row>
    <x:row r="53" spans="2:53" s="25" customFormat="1" ht="15.6" x14ac:dyDescent="0.3">
      <x:c r="B53" s="264">
        <x:v>14</x:v>
      </x:c>
      <x:c r="C53" s="78"/>
      <x:c r="D53" s="73"/>
      <x:c r="E53" s="342" t="str">
        <x:f>IF(D53="","",VLOOKUP(D53,'10. Condition and Temporal'!$B$6:$D$103,3,FALSE))</x:f>
        <x:v/>
      </x:c>
      <x:c r="F53" s="707"/>
      <x:c r="G53" s="708"/>
      <x:c r="H53" s="71"/>
      <x:c r="I53" s="716"/>
      <x:c r="J53" s="717"/>
      <x:c r="K53" s="718"/>
      <x:c r="L53" s="709" t="str">
        <x:f t="shared" si="7"/>
        <x:v/>
      </x:c>
      <x:c r="M53" s="686"/>
      <x:c r="N53" s="710"/>
      <x:c r="O53" s="61"/>
      <x:c r="P53" s="12"/>
      <x:c r="R53" s="652"/>
      <x:c r="T53" s="661" t="str">
        <x:f>IF(C53="","",VLOOKUP(D53,'9. All Habitats + Multipliers'!$C$4:$K$102,5,FALSE))</x:f>
        <x:v/>
      </x:c>
      <x:c r="U53" s="662"/>
      <x:c r="V53" s="94" t="str">
        <x:f>IF(T53="","",VLOOKUP(T53,'11. Lists'!$B$47:$D$49,2,FALSE))</x:f>
        <x:v/>
      </x:c>
      <x:c r="W53" s="184" t="str">
        <x:f t="shared" si="9"/>
        <x:v/>
      </x:c>
      <x:c r="X53" s="94" t="str">
        <x:f>IF(W53="","",VLOOKUP(W53,'11. Lists'!$F$47:$G$51,2,FALSE))</x:f>
        <x:v/>
      </x:c>
      <x:c r="Y53" s="48"/>
      <x:c r="Z53" s="48"/>
      <x:c r="AA53" s="48"/>
      <x:c r="AB53" s="93" t="str">
        <x:f t="shared" si="8"/>
        <x:v/>
      </x:c>
      <x:c r="AC53" s="95" t="str">
        <x:f>IF(AB53="","",VLOOKUP(AB53,'11. Lists'!$F$36:$H$38,2,FALSE))</x:f>
        <x:v/>
      </x:c>
      <x:c r="AD53" s="94" t="str">
        <x:f>IF(AB53="","",VLOOKUP(AB53,'11. Lists'!$F$36:$H$38,3,FALSE))</x:f>
        <x:v/>
      </x:c>
      <x:c r="AE53" s="93" t="str">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v/>
      </x:c>
      <x:c r="AF53" s="107" t="str">
        <x:f>IF(AE53="","",VLOOKUP(AE53,'11. Lists'!$I$47:$K$80,3,FALSE))</x:f>
        <x:v/>
      </x:c>
      <x:c r="AG53" s="93" t="str">
        <x:f>IF(D53="","",VLOOKUP(D53,'9. All Habitats + Multipliers'!$C$4:$K$102,7,FALSE))</x:f>
        <x:v/>
      </x:c>
      <x:c r="AH53" s="94" t="str">
        <x:f>IF(AG53="","",VLOOKUP(AG53,'11. Lists'!$J$35:$K$38,2,FALSE))</x:f>
        <x:v/>
      </x:c>
    </x:row>
    <x:row r="54" spans="2:53" s="25" customFormat="1" ht="15.6" x14ac:dyDescent="0.3">
      <x:c r="B54" s="264">
        <x:v>15</x:v>
      </x:c>
      <x:c r="C54" s="78"/>
      <x:c r="D54" s="73"/>
      <x:c r="E54" s="342" t="str">
        <x:f>IF(D54="","",VLOOKUP(D54,'10. Condition and Temporal'!$B$6:$D$103,3,FALSE))</x:f>
        <x:v/>
      </x:c>
      <x:c r="F54" s="707"/>
      <x:c r="G54" s="708"/>
      <x:c r="H54" s="71"/>
      <x:c r="I54" s="716"/>
      <x:c r="J54" s="717"/>
      <x:c r="K54" s="718"/>
      <x:c r="L54" s="709" t="str">
        <x:f t="shared" si="7"/>
        <x:v/>
      </x:c>
      <x:c r="M54" s="686"/>
      <x:c r="N54" s="710"/>
      <x:c r="O54" s="61"/>
      <x:c r="P54" s="12"/>
      <x:c r="R54" s="652"/>
      <x:c r="T54" s="661" t="str">
        <x:f>IF(C54="","",VLOOKUP(D54,'9. All Habitats + Multipliers'!$C$4:$K$102,5,FALSE))</x:f>
        <x:v/>
      </x:c>
      <x:c r="U54" s="662"/>
      <x:c r="V54" s="94" t="str">
        <x:f>IF(T54="","",VLOOKUP(T54,'11. Lists'!$B$47:$D$49,2,FALSE))</x:f>
        <x:v/>
      </x:c>
      <x:c r="W54" s="184" t="str">
        <x:f t="shared" si="9"/>
        <x:v/>
      </x:c>
      <x:c r="X54" s="94" t="str">
        <x:f>IF(W54="","",VLOOKUP(W54,'11. Lists'!$F$47:$G$51,2,FALSE))</x:f>
        <x:v/>
      </x:c>
      <x:c r="Y54" s="48"/>
      <x:c r="Z54" s="48"/>
      <x:c r="AA54" s="48"/>
      <x:c r="AB54" s="93" t="str">
        <x:f t="shared" si="8"/>
        <x:v/>
      </x:c>
      <x:c r="AC54" s="95" t="str">
        <x:f>IF(AB54="","",VLOOKUP(AB54,'11. Lists'!$F$36:$H$38,2,FALSE))</x:f>
        <x:v/>
      </x:c>
      <x:c r="AD54" s="94" t="str">
        <x:f>IF(AB54="","",VLOOKUP(AB54,'11. Lists'!$F$36:$H$38,3,FALSE))</x:f>
        <x:v/>
      </x:c>
      <x:c r="AE54" s="93" t="str">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v/>
      </x:c>
      <x:c r="AF54" s="107" t="str">
        <x:f>IF(AE54="","",VLOOKUP(AE54,'11. Lists'!$I$47:$K$80,3,FALSE))</x:f>
        <x:v/>
      </x:c>
      <x:c r="AG54" s="93" t="str">
        <x:f>IF(D54="","",VLOOKUP(D54,'9. All Habitats + Multipliers'!$C$4:$K$102,7,FALSE))</x:f>
        <x:v/>
      </x:c>
      <x:c r="AH54" s="94" t="str">
        <x:f>IF(AG54="","",VLOOKUP(AG54,'11. Lists'!$J$35:$K$38,2,FALSE))</x:f>
        <x:v/>
      </x:c>
    </x:row>
    <x:row r="55" spans="2:53" s="25" customFormat="1" ht="15.6" x14ac:dyDescent="0.3">
      <x:c r="B55" s="264">
        <x:v>16</x:v>
      </x:c>
      <x:c r="C55" s="78"/>
      <x:c r="D55" s="73"/>
      <x:c r="E55" s="342" t="str">
        <x:f>IF(D55="","",VLOOKUP(D55,'10. Condition and Temporal'!$B$6:$D$103,3,FALSE))</x:f>
        <x:v/>
      </x:c>
      <x:c r="F55" s="707"/>
      <x:c r="G55" s="708"/>
      <x:c r="H55" s="71"/>
      <x:c r="I55" s="716"/>
      <x:c r="J55" s="717"/>
      <x:c r="K55" s="718"/>
      <x:c r="L55" s="709" t="str">
        <x:f t="shared" si="7"/>
        <x:v/>
      </x:c>
      <x:c r="M55" s="686"/>
      <x:c r="N55" s="710"/>
      <x:c r="O55" s="61"/>
      <x:c r="P55" s="12"/>
      <x:c r="R55" s="652"/>
      <x:c r="T55" s="661" t="str">
        <x:f>IF(C55="","",VLOOKUP(D55,'9. All Habitats + Multipliers'!$C$4:$K$102,5,FALSE))</x:f>
        <x:v/>
      </x:c>
      <x:c r="U55" s="662"/>
      <x:c r="V55" s="94" t="str">
        <x:f>IF(T55="","",VLOOKUP(T55,'11. Lists'!$B$47:$D$49,2,FALSE))</x:f>
        <x:v/>
      </x:c>
      <x:c r="W55" s="184" t="str">
        <x:f t="shared" si="9"/>
        <x:v/>
      </x:c>
      <x:c r="X55" s="94" t="str">
        <x:f>IF(W55="","",VLOOKUP(W55,'11. Lists'!$F$47:$G$51,2,FALSE))</x:f>
        <x:v/>
      </x:c>
      <x:c r="Y55" s="48"/>
      <x:c r="Z55" s="48"/>
      <x:c r="AA55" s="48"/>
      <x:c r="AB55" s="93" t="str">
        <x:f t="shared" si="8"/>
        <x:v/>
      </x:c>
      <x:c r="AC55" s="95" t="str">
        <x:f>IF(AB55="","",VLOOKUP(AB55,'11. Lists'!$F$36:$H$38,2,FALSE))</x:f>
        <x:v/>
      </x:c>
      <x:c r="AD55" s="94" t="str">
        <x:f>IF(AB55="","",VLOOKUP(AB55,'11. Lists'!$F$36:$H$38,3,FALSE))</x:f>
        <x:v/>
      </x:c>
      <x:c r="AE55" s="93" t="str">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v/>
      </x:c>
      <x:c r="AF55" s="107" t="str">
        <x:f>IF(AE55="","",VLOOKUP(AE55,'11. Lists'!$I$47:$K$80,3,FALSE))</x:f>
        <x:v/>
      </x:c>
      <x:c r="AG55" s="93" t="str">
        <x:f>IF(D55="","",VLOOKUP(D55,'9. All Habitats + Multipliers'!$C$4:$K$102,7,FALSE))</x:f>
        <x:v/>
      </x:c>
      <x:c r="AH55" s="94" t="str">
        <x:f>IF(AG55="","",VLOOKUP(AG55,'11. Lists'!$J$35:$K$38,2,FALSE))</x:f>
        <x:v/>
      </x:c>
    </x:row>
    <x:row r="56" spans="2:53" s="25" customFormat="1" ht="15.6" x14ac:dyDescent="0.3">
      <x:c r="B56" s="264">
        <x:v>17</x:v>
      </x:c>
      <x:c r="C56" s="78"/>
      <x:c r="D56" s="73"/>
      <x:c r="E56" s="342" t="str">
        <x:f>IF(D56="","",VLOOKUP(D56,'10. Condition and Temporal'!$B$6:$D$103,3,FALSE))</x:f>
        <x:v/>
      </x:c>
      <x:c r="F56" s="707"/>
      <x:c r="G56" s="708"/>
      <x:c r="H56" s="71"/>
      <x:c r="I56" s="716"/>
      <x:c r="J56" s="717"/>
      <x:c r="K56" s="718"/>
      <x:c r="L56" s="709" t="str">
        <x:f t="shared" si="7"/>
        <x:v/>
      </x:c>
      <x:c r="M56" s="686"/>
      <x:c r="N56" s="710"/>
      <x:c r="O56" s="61"/>
      <x:c r="P56" s="12"/>
      <x:c r="R56" s="652"/>
      <x:c r="T56" s="661" t="str">
        <x:f>IF(C56="","",VLOOKUP(D56,'9. All Habitats + Multipliers'!$C$4:$K$102,5,FALSE))</x:f>
        <x:v/>
      </x:c>
      <x:c r="U56" s="662"/>
      <x:c r="V56" s="94" t="str">
        <x:f>IF(T56="","",VLOOKUP(T56,'11. Lists'!$B$47:$D$49,2,FALSE))</x:f>
        <x:v/>
      </x:c>
      <x:c r="W56" s="184" t="str">
        <x:f t="shared" si="9"/>
        <x:v/>
      </x:c>
      <x:c r="X56" s="94" t="str">
        <x:f>IF(W56="","",VLOOKUP(W56,'11. Lists'!$F$47:$G$51,2,FALSE))</x:f>
        <x:v/>
      </x:c>
      <x:c r="Y56" s="48"/>
      <x:c r="Z56" s="48"/>
      <x:c r="AA56" s="48"/>
      <x:c r="AB56" s="93" t="str">
        <x:f t="shared" si="8"/>
        <x:v/>
      </x:c>
      <x:c r="AC56" s="95" t="str">
        <x:f>IF(AB56="","",VLOOKUP(AB56,'11. Lists'!$F$36:$H$38,2,FALSE))</x:f>
        <x:v/>
      </x:c>
      <x:c r="AD56" s="94" t="str">
        <x:f>IF(AB56="","",VLOOKUP(AB56,'11. Lists'!$F$36:$H$38,3,FALSE))</x:f>
        <x:v/>
      </x:c>
      <x:c r="AE56" s="93" t="str">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v/>
      </x:c>
      <x:c r="AF56" s="107" t="str">
        <x:f>IF(AE56="","",VLOOKUP(AE56,'11. Lists'!$I$47:$K$80,3,FALSE))</x:f>
        <x:v/>
      </x:c>
      <x:c r="AG56" s="93" t="str">
        <x:f>IF(D56="","",VLOOKUP(D56,'9. All Habitats + Multipliers'!$C$4:$K$102,7,FALSE))</x:f>
        <x:v/>
      </x:c>
      <x:c r="AH56" s="94" t="str">
        <x:f>IF(AG56="","",VLOOKUP(AG56,'11. Lists'!$J$35:$K$38,2,FALSE))</x:f>
        <x:v/>
      </x:c>
    </x:row>
    <x:row r="57" spans="2:53" s="25" customFormat="1" ht="15.6" x14ac:dyDescent="0.3">
      <x:c r="B57" s="264">
        <x:v>18</x:v>
      </x:c>
      <x:c r="C57" s="78"/>
      <x:c r="D57" s="73"/>
      <x:c r="E57" s="342" t="str">
        <x:f>IF(D57="","",VLOOKUP(D57,'10. Condition and Temporal'!$B$6:$D$103,3,FALSE))</x:f>
        <x:v/>
      </x:c>
      <x:c r="F57" s="707"/>
      <x:c r="G57" s="708"/>
      <x:c r="H57" s="71"/>
      <x:c r="I57" s="716"/>
      <x:c r="J57" s="717"/>
      <x:c r="K57" s="718"/>
      <x:c r="L57" s="709" t="str">
        <x:f t="shared" si="7"/>
        <x:v/>
      </x:c>
      <x:c r="M57" s="686"/>
      <x:c r="N57" s="710"/>
      <x:c r="O57" s="61"/>
      <x:c r="P57" s="12"/>
      <x:c r="R57" s="652"/>
      <x:c r="T57" s="661" t="str">
        <x:f>IF(C57="","",VLOOKUP(D57,'9. All Habitats + Multipliers'!$C$4:$K$102,5,FALSE))</x:f>
        <x:v/>
      </x:c>
      <x:c r="U57" s="662"/>
      <x:c r="V57" s="94" t="str">
        <x:f>IF(T57="","",VLOOKUP(T57,'11. Lists'!$B$47:$D$49,2,FALSE))</x:f>
        <x:v/>
      </x:c>
      <x:c r="W57" s="184" t="str">
        <x:f t="shared" si="9"/>
        <x:v/>
      </x:c>
      <x:c r="X57" s="94" t="str">
        <x:f>IF(W57="","",VLOOKUP(W57,'11. Lists'!$F$47:$G$51,2,FALSE))</x:f>
        <x:v/>
      </x:c>
      <x:c r="Y57" s="48"/>
      <x:c r="Z57" s="48"/>
      <x:c r="AA57" s="48"/>
      <x:c r="AB57" s="93" t="str">
        <x:f t="shared" si="8"/>
        <x:v/>
      </x:c>
      <x:c r="AC57" s="95" t="str">
        <x:f>IF(AB57="","",VLOOKUP(AB57,'11. Lists'!$F$36:$H$38,2,FALSE))</x:f>
        <x:v/>
      </x:c>
      <x:c r="AD57" s="94" t="str">
        <x:f>IF(AB57="","",VLOOKUP(AB57,'11. Lists'!$F$36:$H$38,3,FALSE))</x:f>
        <x:v/>
      </x:c>
      <x:c r="AE57" s="93" t="str">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v/>
      </x:c>
      <x:c r="AF57" s="107" t="str">
        <x:f>IF(AE57="","",VLOOKUP(AE57,'11. Lists'!$I$47:$K$80,3,FALSE))</x:f>
        <x:v/>
      </x:c>
      <x:c r="AG57" s="93" t="str">
        <x:f>IF(D57="","",VLOOKUP(D57,'9. All Habitats + Multipliers'!$C$4:$K$102,7,FALSE))</x:f>
        <x:v/>
      </x:c>
      <x:c r="AH57" s="94" t="str">
        <x:f>IF(AG57="","",VLOOKUP(AG57,'11. Lists'!$J$35:$K$38,2,FALSE))</x:f>
        <x:v/>
      </x:c>
    </x:row>
    <x:row r="58" spans="2:53" s="25" customFormat="1" ht="15.6" x14ac:dyDescent="0.3">
      <x:c r="B58" s="264">
        <x:v>19</x:v>
      </x:c>
      <x:c r="C58" s="78"/>
      <x:c r="D58" s="73"/>
      <x:c r="E58" s="342" t="str">
        <x:f>IF(D58="","",VLOOKUP(D58,'10. Condition and Temporal'!$B$6:$D$103,3,FALSE))</x:f>
        <x:v/>
      </x:c>
      <x:c r="F58" s="707"/>
      <x:c r="G58" s="708"/>
      <x:c r="H58" s="71"/>
      <x:c r="I58" s="716"/>
      <x:c r="J58" s="717"/>
      <x:c r="K58" s="718"/>
      <x:c r="L58" s="709" t="str">
        <x:f t="shared" si="7"/>
        <x:v/>
      </x:c>
      <x:c r="M58" s="686"/>
      <x:c r="N58" s="710"/>
      <x:c r="O58" s="61"/>
      <x:c r="P58" s="12"/>
      <x:c r="R58" s="652"/>
      <x:c r="T58" s="661" t="str">
        <x:f>IF(C58="","",VLOOKUP(D58,'9. All Habitats + Multipliers'!$C$4:$K$102,5,FALSE))</x:f>
        <x:v/>
      </x:c>
      <x:c r="U58" s="662"/>
      <x:c r="V58" s="94" t="str">
        <x:f>IF(T58="","",VLOOKUP(T58,'11. Lists'!$B$47:$D$49,2,FALSE))</x:f>
        <x:v/>
      </x:c>
      <x:c r="W58" s="184" t="str">
        <x:f t="shared" si="9"/>
        <x:v/>
      </x:c>
      <x:c r="X58" s="94" t="str">
        <x:f>IF(W58="","",VLOOKUP(W58,'11. Lists'!$F$47:$G$51,2,FALSE))</x:f>
        <x:v/>
      </x:c>
      <x:c r="Y58" s="48"/>
      <x:c r="Z58" s="48"/>
      <x:c r="AA58" s="48"/>
      <x:c r="AB58" s="93" t="str">
        <x:f t="shared" si="8"/>
        <x:v/>
      </x:c>
      <x:c r="AC58" s="95" t="str">
        <x:f>IF(AB58="","",VLOOKUP(AB58,'11. Lists'!$F$36:$H$38,2,FALSE))</x:f>
        <x:v/>
      </x:c>
      <x:c r="AD58" s="94" t="str">
        <x:f>IF(AB58="","",VLOOKUP(AB58,'11. Lists'!$F$36:$H$38,3,FALSE))</x:f>
        <x:v/>
      </x:c>
      <x:c r="AE58" s="93" t="str">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v/>
      </x:c>
      <x:c r="AF58" s="107" t="str">
        <x:f>IF(AE58="","",VLOOKUP(AE58,'11. Lists'!$I$47:$K$80,3,FALSE))</x:f>
        <x:v/>
      </x:c>
      <x:c r="AG58" s="93" t="str">
        <x:f>IF(D58="","",VLOOKUP(D58,'9. All Habitats + Multipliers'!$C$4:$K$102,7,FALSE))</x:f>
        <x:v/>
      </x:c>
      <x:c r="AH58" s="94" t="str">
        <x:f>IF(AG58="","",VLOOKUP(AG58,'11. Lists'!$J$35:$K$38,2,FALSE))</x:f>
        <x:v/>
      </x:c>
    </x:row>
    <x:row r="59" spans="2:53" s="25" customFormat="1" ht="16.2" thickBot="1" x14ac:dyDescent="0.35">
      <x:c r="B59" s="266">
        <x:v>20</x:v>
      </x:c>
      <x:c r="C59" s="78"/>
      <x:c r="D59" s="73"/>
      <x:c r="E59" s="342" t="str">
        <x:f>IF(D59="","",VLOOKUP(D59,'10. Condition and Temporal'!$B$6:$D$103,3,FALSE))</x:f>
        <x:v/>
      </x:c>
      <x:c r="F59" s="707"/>
      <x:c r="G59" s="708"/>
      <x:c r="H59" s="79"/>
      <x:c r="I59" s="716"/>
      <x:c r="J59" s="717"/>
      <x:c r="K59" s="718"/>
      <x:c r="L59" s="709" t="str">
        <x:f t="shared" si="7"/>
        <x:v/>
      </x:c>
      <x:c r="M59" s="686"/>
      <x:c r="N59" s="710"/>
      <x:c r="O59" s="22"/>
      <x:c r="P59" s="6"/>
      <x:c r="R59" s="652"/>
      <x:c r="T59" s="661" t="str">
        <x:f>IF(C59="","",VLOOKUP(D59,'9. All Habitats + Multipliers'!$C$4:$K$102,5,FALSE))</x:f>
        <x:v/>
      </x:c>
      <x:c r="U59" s="662"/>
      <x:c r="V59" s="94" t="str">
        <x:f>IF(T59="","",VLOOKUP(T59,'11. Lists'!$B$47:$D$49,2,FALSE))</x:f>
        <x:v/>
      </x:c>
      <x:c r="W59" s="184" t="str">
        <x:f t="shared" si="9"/>
        <x:v/>
      </x:c>
      <x:c r="X59" s="94" t="str">
        <x:f>IF(W59="","",VLOOKUP(W59,'11. Lists'!$F$47:$G$51,2,FALSE))</x:f>
        <x:v/>
      </x:c>
      <x:c r="Y59" s="48"/>
      <x:c r="Z59" s="48"/>
      <x:c r="AA59" s="48"/>
      <x:c r="AB59" s="93" t="str">
        <x:f t="shared" si="8"/>
        <x:v/>
      </x:c>
      <x:c r="AC59" s="95" t="str">
        <x:f>IF(AB59="","",VLOOKUP(AB59,'11. Lists'!$F$36:$H$38,2,FALSE))</x:f>
        <x:v/>
      </x:c>
      <x:c r="AD59" s="94" t="str">
        <x:f>IF(AB59="","",VLOOKUP(AB59,'11. Lists'!$F$36:$H$38,3,FALSE))</x:f>
        <x:v/>
      </x:c>
      <x:c r="AE59" s="93" t="str">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v/>
      </x:c>
      <x:c r="AF59" s="107" t="str">
        <x:f>IF(AE59="","",VLOOKUP(AE59,'11. Lists'!$I$47:$K$80,3,FALSE))</x:f>
        <x:v/>
      </x:c>
      <x:c r="AG59" s="93" t="str">
        <x:f>IF(D59="","",VLOOKUP(D59,'9. All Habitats + Multipliers'!$C$4:$K$102,7,FALSE))</x:f>
        <x:v/>
      </x:c>
      <x:c r="AH59" s="94" t="str">
        <x:f>IF(AG59="","",VLOOKUP(AG59,'11. Lists'!$J$35:$K$38,2,FALSE))</x:f>
        <x:v/>
      </x:c>
    </x:row>
    <x:row r="60" spans="2:53" s="25" customFormat="1" ht="29.4" thickBot="1" x14ac:dyDescent="0.35">
      <x:c r="B60" s="267" t="s">
        <x:v>92</x:v>
      </x:c>
      <x:c r="C60" s="97" t="inlineStr">
        <x:v/>
        <x:is>
          <x:t xml:space="preserve">Individual trees</x:t>
        </x:is>
      </x:c>
      <x:c r="D60" s="108" t="inlineStr">
        <x:v/>
        <x:is>
          <x:t xml:space="preserve">Urban/rural tree</x:t>
        </x:is>
      </x:c>
      <x:c r="E60" s="109" t="s">
        <x:v>114</x:v>
      </x:c>
      <x:c r="F60" s="745" t="inlineStr">
        <x:v/>
        <x:is>
          <x:t xml:space="preserve">Moderate</x:t>
        </x:is>
      </x:c>
      <x:c r="G60" s="746"/>
      <x:c r="H60" s="550" t="inlineStr">
        <x:v/>
        <x:is>
          <x:t xml:space="preserve">Area/compensation not in local strategy/ no local strategy</x:t>
        </x:is>
      </x:c>
      <x:c r="I60" s="749" t="n">
        <x:f>O99</x:f>
        <x:v>40.6944</x:v>
      </x:c>
      <x:c r="J60" s="750"/>
      <x:c r="K60" s="751"/>
      <x:c r="L60" s="711">
        <x:f>IF(D60="","",((I60/10000)*(V60*X60))*(AH60*AF60)*AD60)</x:f>
        <x:v>0</x:v>
      </x:c>
      <x:c r="M60" s="712"/>
      <x:c r="N60" s="694"/>
      <x:c r="O60" s="38" t="inlineStr">
        <x:v/>
        <x:is>
          <x:t xml:space="preserve"/>
        </x:is>
      </x:c>
      <x:c r="P60" s="39"/>
      <x:c r="R60" s="652"/>
      <x:c r="T60" s="663" t="str">
        <x:f>IF(C60="","",VLOOKUP(D60,'9. All Habitats + Multipliers'!$C$4:$K$102,5,FALSE))</x:f>
        <x:v>Medium</x:v>
      </x:c>
      <x:c r="U60" s="664"/>
      <x:c r="V60" s="99">
        <x:f>IF(T60="","",VLOOKUP(T60,'11. Lists'!$B$47:$D$49,2,FALSE))</x:f>
        <x:v>4</x:v>
      </x:c>
      <x:c r="W60" s="345" t="str">
        <x:f>IF(F60="","",F60)</x:f>
        <x:v>Moderate</x:v>
      </x:c>
      <x:c r="X60" s="99">
        <x:f>IF(W60="","",VLOOKUP(W60,'11. Lists'!$F$47:$G$51,2,FALSE))</x:f>
        <x:v>2</x:v>
      </x:c>
      <x:c r="Y60" s="48"/>
      <x:c r="Z60" s="48"/>
      <x:c r="AA60" s="48"/>
      <x:c r="AB60" s="98" t="str">
        <x:f t="shared" si="8"/>
        <x:v>Area/compensation not in local strategy/ no local strategy</x:v>
      </x:c>
      <x:c r="AC60" s="100" t="str">
        <x:f>IF(AB60="","",VLOOKUP(AB60,'11. Lists'!$F$36:$H$38,2,FALSE))</x:f>
        <x:v>Low Strategic Significance</x:v>
      </x:c>
      <x:c r="AD60" s="99">
        <x:f>IF(AB60="","",VLOOKUP(AB60,'11. Lists'!$F$36:$H$38,3,FALSE))</x:f>
        <x:v>1</x:v>
      </x:c>
      <x:c r="AE60" s="98">
        <x:f>IF(F60="","",IF(F60="Moderate",VLOOKUP(D60,'10. Condition and Temporal'!$B$6:$L$103,6,FALSE),IF('5. Area Habitats'!F60="Good",VLOOKUP(D60,'10. Condition and Temporal'!$B$6:$L$103,7,FALSE),VLOOKUP(D60,'10. Condition and Temporal'!$B$6:$L$103,8,FALSE))))</x:f>
        <x:v>27</x:v>
      </x:c>
      <x:c r="AF60" s="110">
        <x:f>IF(AE60="","",VLOOKUP(AE60,'11. Lists'!$I$47:$K$80,3,FALSE))</x:f>
        <x:v>0.38215316459999998</x:v>
      </x:c>
      <x:c r="AG60" s="98" t="str">
        <x:f>IF(D60="","",VLOOKUP(D60,'9. All Habitats + Multipliers'!$C$4:$K$102,7,FALSE))</x:f>
        <x:v>Low</x:v>
      </x:c>
      <x:c r="AH60" s="99">
        <x:f>IF(AG60="","",VLOOKUP(AG60,'11. Lists'!$J$35:$K$38,2,FALSE))</x:f>
        <x:v>1</x:v>
      </x:c>
    </x:row>
    <x:row r="61" spans="2:53" s="25" customFormat="1" ht="15" thickBot="1" x14ac:dyDescent="0.35">
      <x:c r="H61" s="499" t="s">
        <x:v>96</x:v>
      </x:c>
      <x:c r="I61" s="816">
        <x:f>SUMIFS(I40:I59,D40:D59,"&lt;&gt;"&amp;'11. Lists'!Q10,D40:D59,"&lt;&gt;"&amp;'11. Lists'!Q11,D40:D59,"&lt;&gt;"&amp;'11. Lists'!I4,D40:D59,"&lt;&gt;"&amp;'11. Lists'!I2,D40:D59,"&lt;&gt;"&amp;'11. Lists'!I3)</x:f>
        <x:v>0</x:v>
      </x:c>
      <x:c r="J61" s="817"/>
      <x:c r="K61" s="818"/>
      <x:c r="L61" s="698">
        <x:f>SUM(L40:N60)</x:f>
        <x:v>0</x:v>
      </x:c>
      <x:c r="M61" s="819"/>
      <x:c r="N61" s="695"/>
      <x:c r="R61" s="652"/>
    </x:row>
    <x:row r="62" spans="2:53" s="25" customFormat="1" ht="15" thickBot="1" x14ac:dyDescent="0.35">
      <x:c r="H62" s="268" t="s">
        <x:v>116</x:v>
      </x:c>
      <x:c r="I62" s="713" t="str">
        <x:f>IF(M32=0,"Areas Acceptable ✓",IF(OR(I61-M32&lt;=-0.001,(I61-M32&gt;=0.001)),("Error - Area of habitat creation must match area lost ▲"),("Areas Acceptable ✓")))</x:f>
        <x:v>Areas Acceptable ✓</x:v>
      </x:c>
      <x:c r="J62" s="714"/>
      <x:c r="K62" s="714"/>
      <x:c r="L62" s="714"/>
      <x:c r="M62" s="714"/>
      <x:c r="N62" s="715"/>
      <x:c r="O62" s="157">
        <x:f>IFERROR(FIND("Error",I62),0)</x:f>
        <x:v>0</x:v>
      </x:c>
      <x:c r="R62" s="652"/>
    </x:row>
    <x:row r="63" spans="2:53" s="25" customFormat="1" x14ac:dyDescent="0.3">
      <x:c r="I63" s="436">
        <x:f>SUM($I$40:$K$60)</x:f>
        <x:v>0</x:v>
      </x:c>
      <x:c r="R63" s="652"/>
      <x:c r="BA63" s="50" t="s">
        <x:v>117</x:v>
      </x:c>
    </x:row>
    <x:row r="64" spans="2:53" s="25" customFormat="1" ht="21" x14ac:dyDescent="0.4">
      <x:c r="B64" s="57" t="s">
        <x:v>118</x:v>
      </x:c>
      <x:c r="D64" s="88"/>
      <x:c r="H64" s="26"/>
      <x:c r="R64" s="652"/>
      <x:c r="BA64" s="50" t="s">
        <x:v>119</x:v>
      </x:c>
    </x:row>
    <x:row r="65" spans="1:76" s="25" customFormat="1" ht="15" thickBot="1" x14ac:dyDescent="0.35">
      <x:c r="A65" s="89"/>
      <x:c r="R65" s="652" t="s">
        <x:v>55</x:v>
      </x:c>
    </x:row>
    <x:row r="66" spans="1:76" s="25" customFormat="1" ht="16.2" customHeight="1" thickBot="1" x14ac:dyDescent="0.35">
      <x:c r="A66" s="89"/>
      <x:c r="B66" s="684" t="s">
        <x:v>120</x:v>
      </x:c>
      <x:c r="C66" s="680" t="s">
        <x:v>121</x:v>
      </x:c>
      <x:c r="D66" s="682"/>
      <x:c r="E66" s="723" t="s">
        <x:v>122</x:v>
      </x:c>
      <x:c r="F66" s="724"/>
      <x:c r="G66" s="725"/>
      <x:c r="H66" s="666" t="s">
        <x:v>123</x:v>
      </x:c>
      <x:c r="I66" s="666" t="s">
        <x:v>124</x:v>
      </x:c>
      <x:c r="J66" s="812" t="s">
        <x:v>125</x:v>
      </x:c>
      <x:c r="K66" s="813"/>
      <x:c r="L66" s="680" t="s">
        <x:v>126</x:v>
      </x:c>
      <x:c r="M66" s="681" t="s">
        <x:v>127</x:v>
      </x:c>
      <x:c r="N66" s="682"/>
      <x:c r="O66" s="747" t="s">
        <x:v>68</x:v>
      </x:c>
      <x:c r="P66" s="748"/>
      <x:c r="R66" s="652"/>
      <x:c r="T66" s="659" t="s">
        <x:v>128</x:v>
      </x:c>
      <x:c r="U66" s="660"/>
      <x:c r="V66" s="660"/>
      <x:c r="W66" s="660"/>
      <x:c r="X66" s="660"/>
      <x:c r="Y66" s="660"/>
      <x:c r="Z66" s="660"/>
      <x:c r="AA66" s="660"/>
      <x:c r="AB66" s="660"/>
      <x:c r="AC66" s="660"/>
      <x:c r="AD66" s="665"/>
      <x:c r="AE66" s="666" t="s">
        <x:v>129</x:v>
      </x:c>
      <x:c r="AF66" s="659" t="s">
        <x:v>130</x:v>
      </x:c>
      <x:c r="AG66" s="660"/>
      <x:c r="AH66" s="660"/>
      <x:c r="AI66" s="660"/>
      <x:c r="AJ66" s="660"/>
      <x:c r="AK66" s="660"/>
      <x:c r="AL66" s="660"/>
      <x:c r="AM66" s="660"/>
      <x:c r="AN66" s="660"/>
      <x:c r="AO66" s="660"/>
      <x:c r="AP66" s="665"/>
      <x:c r="AQ66" s="668" t="s">
        <x:v>131</x:v>
      </x:c>
      <x:c r="AR66" s="659" t="s">
        <x:v>130</x:v>
      </x:c>
      <x:c r="AS66" s="660"/>
      <x:c r="AT66" s="660"/>
      <x:c r="AU66" s="660"/>
      <x:c r="AV66" s="660"/>
      <x:c r="AW66" s="660"/>
      <x:c r="AX66" s="660"/>
      <x:c r="AY66" s="460"/>
      <x:c r="BA66" s="154" t="s">
        <x:v>132</x:v>
      </x:c>
      <x:c r="BB66" s="185">
        <x:f>COUNTIF(BB68:BB87,"?*")</x:f>
        <x:v>0</x:v>
      </x:c>
      <x:c r="BC66" s="185">
        <x:f t="shared" ref="BC66:BU66" si="10">COUNTIF(BC68:BC87,"?*")</x:f>
        <x:v>0</x:v>
      </x:c>
      <x:c r="BD66" s="185">
        <x:f t="shared" si="10"/>
        <x:v>0</x:v>
      </x:c>
      <x:c r="BE66" s="185">
        <x:f t="shared" si="10"/>
        <x:v>0</x:v>
      </x:c>
      <x:c r="BF66" s="185">
        <x:f t="shared" si="10"/>
        <x:v>0</x:v>
      </x:c>
      <x:c r="BG66" s="185">
        <x:f t="shared" si="10"/>
        <x:v>0</x:v>
      </x:c>
      <x:c r="BH66" s="185">
        <x:f t="shared" si="10"/>
        <x:v>0</x:v>
      </x:c>
      <x:c r="BI66" s="185">
        <x:f t="shared" si="10"/>
        <x:v>0</x:v>
      </x:c>
      <x:c r="BJ66" s="185">
        <x:f t="shared" si="10"/>
        <x:v>0</x:v>
      </x:c>
      <x:c r="BK66" s="185">
        <x:f t="shared" si="10"/>
        <x:v>0</x:v>
      </x:c>
      <x:c r="BL66" s="185">
        <x:f t="shared" si="10"/>
        <x:v>0</x:v>
      </x:c>
      <x:c r="BM66" s="185">
        <x:f t="shared" si="10"/>
        <x:v>0</x:v>
      </x:c>
      <x:c r="BN66" s="185">
        <x:f t="shared" si="10"/>
        <x:v>0</x:v>
      </x:c>
      <x:c r="BO66" s="185">
        <x:f t="shared" si="10"/>
        <x:v>0</x:v>
      </x:c>
      <x:c r="BP66" s="185">
        <x:f t="shared" si="10"/>
        <x:v>0</x:v>
      </x:c>
      <x:c r="BQ66" s="185">
        <x:f t="shared" si="10"/>
        <x:v>0</x:v>
      </x:c>
      <x:c r="BR66" s="185">
        <x:f t="shared" si="10"/>
        <x:v>0</x:v>
      </x:c>
      <x:c r="BS66" s="185">
        <x:f t="shared" si="10"/>
        <x:v>0</x:v>
      </x:c>
      <x:c r="BT66" s="185">
        <x:f t="shared" si="10"/>
        <x:v>0</x:v>
      </x:c>
      <x:c r="BU66" s="185">
        <x:f t="shared" si="10"/>
        <x:v>0</x:v>
      </x:c>
    </x:row>
    <x:row r="67" spans="1:76" s="25" customFormat="1" ht="48.6" customHeight="1" thickBot="1" x14ac:dyDescent="0.35">
      <x:c r="A67" s="89"/>
      <x:c r="B67" s="685"/>
      <x:c r="C67" s="211" t="s">
        <x:v>133</x:v>
      </x:c>
      <x:c r="D67" s="90" t="s">
        <x:v>134</x:v>
      </x:c>
      <x:c r="E67" s="86" t="s">
        <x:v>135</x:v>
      </x:c>
      <x:c r="F67" s="721" t="s">
        <x:v>136</x:v>
      </x:c>
      <x:c r="G67" s="722"/>
      <x:c r="H67" s="667"/>
      <x:c r="I67" s="667"/>
      <x:c r="J67" s="814"/>
      <x:c r="K67" s="815"/>
      <x:c r="L67" s="838"/>
      <x:c r="M67" s="839"/>
      <x:c r="N67" s="840"/>
      <x:c r="O67" s="196" t="s">
        <x:v>83</x:v>
      </x:c>
      <x:c r="P67" s="90" t="s">
        <x:v>84</x:v>
      </x:c>
      <x:c r="R67" s="652"/>
      <x:c r="T67" s="332" t="s">
        <x:v>137</x:v>
      </x:c>
      <x:c r="U67" s="351" t="s">
        <x:v>138</x:v>
      </x:c>
      <x:c r="V67" s="350" t="s">
        <x:v>139</x:v>
      </x:c>
      <x:c r="W67" s="505" t="s">
        <x:v>140</x:v>
      </x:c>
      <x:c r="X67" s="506" t="s">
        <x:v>141</x:v>
      </x:c>
      <x:c r="Y67" s="355"/>
      <x:c r="Z67" s="355"/>
      <x:c r="AA67" s="355"/>
      <x:c r="AB67" s="506" t="s">
        <x:v>142</x:v>
      </x:c>
      <x:c r="AC67" s="506" t="s">
        <x:v>143</x:v>
      </x:c>
      <x:c r="AD67" s="350" t="s">
        <x:v>144</x:v>
      </x:c>
      <x:c r="AE67" s="667"/>
      <x:c r="AF67" s="333" t="s">
        <x:v>137</x:v>
      </x:c>
      <x:c r="AG67" s="351" t="s">
        <x:v>85</x:v>
      </x:c>
      <x:c r="AH67" s="350" t="s">
        <x:v>86</x:v>
      </x:c>
      <x:c r="AI67" s="505" t="s">
        <x:v>87</x:v>
      </x:c>
      <x:c r="AJ67" s="359" t="s">
        <x:v>86</x:v>
      </x:c>
      <x:c r="AK67" s="346"/>
      <x:c r="AL67" s="346"/>
      <x:c r="AM67" s="346"/>
      <x:c r="AN67" s="360" t="s">
        <x:v>71</x:v>
      </x:c>
      <x:c r="AO67" s="506" t="s">
        <x:v>71</x:v>
      </x:c>
      <x:c r="AP67" s="516" t="s">
        <x:v>88</x:v>
      </x:c>
      <x:c r="AQ67" s="669"/>
      <x:c r="AR67" s="350" t="s">
        <x:v>145</x:v>
      </x:c>
      <x:c r="AS67" s="351" t="s">
        <x:v>146</x:v>
      </x:c>
      <x:c r="AT67" s="350" t="s">
        <x:v>147</x:v>
      </x:c>
      <x:c r="AU67" s="352" t="s">
        <x:v>148</x:v>
      </x:c>
      <x:c r="AV67" s="350" t="s">
        <x:v>149</x:v>
      </x:c>
      <x:c r="AW67" s="331" t="s">
        <x:v>150</x:v>
      </x:c>
      <x:c r="AX67" s="458" t="s">
        <x:v>151</x:v>
      </x:c>
      <x:c r="AY67" s="461" t="s">
        <x:v>152</x:v>
      </x:c>
      <x:c r="BA67" s="83" t="s">
        <x:v>153</x:v>
      </x:c>
      <x:c r="BB67" s="169">
        <x:v>1</x:v>
      </x:c>
      <x:c r="BC67" s="169">
        <x:v>2</x:v>
      </x:c>
      <x:c r="BD67" s="169">
        <x:v>3</x:v>
      </x:c>
      <x:c r="BE67" s="169">
        <x:v>4</x:v>
      </x:c>
      <x:c r="BF67" s="169">
        <x:v>5</x:v>
      </x:c>
      <x:c r="BG67" s="169">
        <x:v>6</x:v>
      </x:c>
      <x:c r="BH67" s="169">
        <x:v>7</x:v>
      </x:c>
      <x:c r="BI67" s="169">
        <x:v>8</x:v>
      </x:c>
      <x:c r="BJ67" s="169">
        <x:v>9</x:v>
      </x:c>
      <x:c r="BK67" s="169">
        <x:v>10</x:v>
      </x:c>
      <x:c r="BL67" s="169">
        <x:v>11</x:v>
      </x:c>
      <x:c r="BM67" s="169">
        <x:v>12</x:v>
      </x:c>
      <x:c r="BN67" s="169">
        <x:v>13</x:v>
      </x:c>
      <x:c r="BO67" s="169">
        <x:v>14</x:v>
      </x:c>
      <x:c r="BP67" s="169">
        <x:v>15</x:v>
      </x:c>
      <x:c r="BQ67" s="169">
        <x:v>16</x:v>
      </x:c>
      <x:c r="BR67" s="169">
        <x:v>17</x:v>
      </x:c>
      <x:c r="BS67" s="169">
        <x:v>18</x:v>
      </x:c>
      <x:c r="BT67" s="169">
        <x:v>19</x:v>
      </x:c>
      <x:c r="BU67" s="169">
        <x:v>20</x:v>
      </x:c>
      <x:c r="BV67" s="183" t="s">
        <x:v>154</x:v>
      </x:c>
      <x:c r="BW67" s="169" t="s">
        <x:v>155</x:v>
      </x:c>
      <x:c r="BX67" s="169" t="s">
        <x:v>156</x:v>
      </x:c>
    </x:row>
    <x:row r="68" spans="1:76" s="25" customFormat="1" ht="15.6" x14ac:dyDescent="0.3">
      <x:c r="A68" s="89"/>
      <x:c r="B68" s="263">
        <x:v>1</x:v>
      </x:c>
      <x:c r="C68" s="207" t="inlineStr">
        <x:f t="shared" ref="C68:C87" si="11">IF(D68="","",C11)</x:f>
        <x:v/>
        <x:is>
          <x:t xml:space="preserve">Urban</x:t>
        </x:is>
      </x:c>
      <x:c r="D68" s="208" t="inlineStr">
        <x:f>IF(OR(K11=0, K11=""),"",D11)</x:f>
        <x:v/>
        <x:is>
          <x:t xml:space="preserve">Unvegetated garden</x:t>
        </x:is>
      </x:c>
      <x:c r="E68" s="209" t="str">
        <x:f t="shared" ref="E68:E88" si="12">IF(AX68="","",AX68)</x:f>
        <x:v/>
      </x:c>
      <x:c r="F68" s="719"/>
      <x:c r="G68" s="720"/>
      <x:c r="H68" s="163" t="str">
        <x:f t="shared" ref="H68:H87" si="13">IF(D68="","",AB68)</x:f>
        <x:v/>
      </x:c>
      <x:c r="I68" s="321" t="str">
        <x:f>IF(OR(K11="", K11=0),"",K11)</x:f>
        <x:v/>
      </x:c>
      <x:c r="J68" s="676" t="str">
        <x:f>IFERROR(IF(F68="","",VLOOKUP(F68,'10. Condition and Temporal'!$B$6:$F$103,5,FALSE)), "Error ▲")</x:f>
        <x:v/>
      </x:c>
      <x:c r="K68" s="677"/>
      <x:c r="L68" s="283" t="str">
        <x:f>IFERROR(IF(D68="","",IF(AX68="Distinctiveness",(((((I68*AH68*AJ68)-(I68*V68*X68))*(AV68*AT68))+(I68*V68*X68))*(AP68))/10000,((((I68*AJ68*AH68)-(I68*V68*X68))*(AV68*AR68))+(I68*V68*X68))*AP68/10000)),"Error ▲")</x:f>
        <x:v/>
      </x:c>
      <x:c r="M68" s="686" t="str">
        <x:f>IFERROR(IF(F68="","",L68-AD68), "Error ▲")</x:f>
        <x:v/>
      </x:c>
      <x:c r="N68" s="687"/>
      <x:c r="O68" s="210"/>
      <x:c r="P68" s="1"/>
      <x:c r="R68" s="652"/>
      <x:c r="T68" s="177" t="str">
        <x:f t="shared" ref="T68:T88" si="14">IF(D68="","",K11)</x:f>
        <x:v/>
      </x:c>
      <x:c r="U68" s="361" t="str">
        <x:f>IF($D68="","",T11)</x:f>
        <x:v/>
      </x:c>
      <x:c r="V68" s="363" t="str">
        <x:f t="shared" ref="V68:X88" si="15">IF($D68="","",V11)</x:f>
        <x:v/>
      </x:c>
      <x:c r="W68" s="361" t="str">
        <x:f t="shared" si="15"/>
        <x:v/>
      </x:c>
      <x:c r="X68" s="363" t="str">
        <x:f t="shared" si="15"/>
        <x:v/>
      </x:c>
      <x:c r="Y68" s="372"/>
      <x:c r="Z68" s="343"/>
      <x:c r="AA68" s="507"/>
      <x:c r="AB68" s="361" t="str">
        <x:f t="shared" ref="AB68:AB88" si="16">IF($D68="","",AB11)</x:f>
        <x:v/>
      </x:c>
      <x:c r="AC68" s="363" t="str">
        <x:f t="shared" ref="AC68:AC88" si="17">IF($D68="","",AD11)</x:f>
        <x:v/>
      </x:c>
      <x:c r="AD68" s="510" t="str">
        <x:f>IF(AC68="","",(T68*V68*X68)*AC68/10000)</x:f>
        <x:v/>
      </x:c>
      <x:c r="AE68" s="510" t="str">
        <x:f>IF(AD68="","",IF(AH68&lt;V68,"Not Acceptable","Acceptable"))</x:f>
        <x:v/>
      </x:c>
      <x:c r="AF68" s="510" t="str">
        <x:f t="shared" ref="AF68:AF88" si="18">IF(D68="","",I68)</x:f>
        <x:v/>
      </x:c>
      <x:c r="AG68" s="361" t="str">
        <x:f>IF(D68="","",VLOOKUP(F68,'9. All Habitats + Multipliers'!$C$4:$K$102,5,FALSE))</x:f>
        <x:v/>
      </x:c>
      <x:c r="AH68" s="513" t="str">
        <x:f>IF(AG68="","",VLOOKUP(AG68,'11. Lists'!$B$47:$D$49,2,FALSE))</x:f>
        <x:v/>
      </x:c>
      <x:c r="AI68" s="361" t="str">
        <x:f t="shared" ref="AI68:AI88" si="19">IF(D68="","",J68)</x:f>
        <x:v/>
      </x:c>
      <x:c r="AJ68" s="363" t="str">
        <x:f>IF(AI68="","",VLOOKUP(AI68,'11. Lists'!$F$47:$G$51,2,FALSE))</x:f>
        <x:v/>
      </x:c>
      <x:c r="AK68" s="515"/>
      <x:c r="AL68" s="362"/>
      <x:c r="AM68" s="518"/>
      <x:c r="AN68" s="361" t="str">
        <x:f t="shared" ref="AN68:AN88" si="20">IF(H68="","",H68)</x:f>
        <x:v/>
      </x:c>
      <x:c r="AO68" s="519" t="str">
        <x:f>IF(AN68="","",VLOOKUP(AN68,'11. Lists'!$F$36:$H$38,2,FALSE))</x:f>
        <x:v/>
      </x:c>
      <x:c r="AP68" s="363" t="str">
        <x:f>IF(AN68="","",VLOOKUP(AN68,'11. Lists'!$F$36:$H$38,3,FALSE))</x:f>
        <x:v/>
      </x:c>
      <x:c r="AQ68" s="361" t="str">
        <x:f>IF(D68="","",IF(AX68="Distinctiveness","N/A",VLOOKUP(F68,'10. Condition and Temporal'!$B$6:$L$103,11,FALSE)))</x:f>
        <x:v/>
      </x:c>
      <x:c r="AR68" s="520" t="str">
        <x:f>IF(AQ68="","",IF(AQ68="N/A","1",VLOOKUP(AQ68,'11. Lists'!$I$47:$K$80,3,FALSE)))</x:f>
        <x:v/>
      </x:c>
      <x:c r="AS68" s="523" t="str">
        <x:f>IF(D68="","",IF(AX68="Condition","N/A",VLOOKUP(F68,'10. Condition and Temporal'!$B$6:$M$106,12,FALSE)))</x:f>
        <x:v/>
      </x:c>
      <x:c r="AT68" s="520" t="str">
        <x:f>IF(AS68="","",IF(AS68="N/A","1",VLOOKUP(AS68,'11. Lists'!$I$47:$K$80,3,FALSE)))</x:f>
        <x:v/>
      </x:c>
      <x:c r="AU68" s="361" t="str">
        <x:f>IF(D68="","",VLOOKUP(F68,'9. All Habitats + Multipliers'!$C$4:$K$102,8,FALSE))</x:f>
        <x:v/>
      </x:c>
      <x:c r="AV68" s="363" t="str">
        <x:f>IF(AU68="","",VLOOKUP(AU68,'11. Lists'!$J$35:$K$38,2,FALSE))</x:f>
        <x:v/>
      </x:c>
      <x:c r="AW68" s="510" t="str">
        <x:f>IF(D68="","",VLOOKUP(D68,'10. Condition and Temporal'!$B$6:$M$103,4,FALSE))</x:f>
        <x:v/>
      </x:c>
      <x:c r="AX68" s="510" t="str">
        <x:f t="shared" ref="AX68:AX87" si="21">IF(F68="","",IF(D68=F68,"Condition","Distinctiveness"))</x:f>
        <x:v/>
      </x:c>
      <x:c r="AY68" s="462" t="str">
        <x:f>IF(COUNTIF(F68,"*grassland*"),"Grassland",IF(COUNTIF(F68,"*scree*"),"Sparsely vegetated land",C68))</x:f>
        <x:v/>
      </x:c>
      <x:c r="BA68" s="93">
        <x:v>1</x:v>
      </x:c>
      <x:c r="BB68" s="95" t="str">
        <x:f t="shared" ref="BB68:BB87" si="22">TRIM(MID(SUBSTITUTE($AW$68,$BA$64,REPT(" ",LEN($AW$68))),($BA68-1)*LEN($AW$68)+1,LEN($AW$68)))</x:f>
        <x:v/>
      </x:c>
      <x:c r="BC68" s="95" t="str">
        <x:f t="shared" ref="BC68:BC87" si="23">TRIM(MID(SUBSTITUTE($AW$69,$BA$64,REPT(" ",LEN($AW$69))),($BA68-1)*LEN($AW$69)+1,LEN($AW$69)))</x:f>
        <x:v/>
      </x:c>
      <x:c r="BD68" s="95" t="str">
        <x:f t="shared" ref="BD68:BD87" si="24">TRIM(MID(SUBSTITUTE($AW$70,$BA$64,REPT(" ",LEN($AW$70))),($BA68-1)*LEN($AW$70)+1,LEN($AW$70)))</x:f>
        <x:v/>
      </x:c>
      <x:c r="BE68" s="95" t="str">
        <x:f t="shared" ref="BE68:BE87" si="25">TRIM(MID(SUBSTITUTE($AW$71,$BA$64,REPT(" ",LEN($AW$71))),($BA68-1)*LEN($AW$71)+1,LEN($AW$71)))</x:f>
        <x:v/>
      </x:c>
      <x:c r="BF68" s="95" t="str">
        <x:f t="shared" ref="BF68:BF87" si="26">TRIM(MID(SUBSTITUTE($AW$72,$BA$64,REPT(" ",LEN($AW$72))),($BA68-1)*LEN($AW$72)+1,LEN($AW$72)))</x:f>
        <x:v/>
      </x:c>
      <x:c r="BG68" s="95" t="str">
        <x:f t="shared" ref="BG68:BG87" si="27">TRIM(MID(SUBSTITUTE($AW$73,$BA$64,REPT(" ",LEN($AW$73))),($BA68-1)*LEN($AW$73)+1,LEN($AW$73)))</x:f>
        <x:v/>
      </x:c>
      <x:c r="BH68" s="95" t="str">
        <x:f t="shared" ref="BH68:BH87" si="28">TRIM(MID(SUBSTITUTE($AW$74,$BA$64,REPT(" ",LEN($AW$74))),($BA68-1)*LEN($AW$74)+1,LEN($AW$74)))</x:f>
        <x:v/>
      </x:c>
      <x:c r="BI68" s="95" t="str">
        <x:f t="shared" ref="BI68:BI87" si="29">TRIM(MID(SUBSTITUTE($AW$75,$BA$64,REPT(" ",LEN($AW$75))),($BA68-1)*LEN($AW$75)+1,LEN($AW$75)))</x:f>
        <x:v/>
      </x:c>
      <x:c r="BJ68" s="95" t="str">
        <x:f t="shared" ref="BJ68:BJ87" si="30">TRIM(MID(SUBSTITUTE($AW$76,$BA$64,REPT(" ",LEN($AW$76))),($BA68-1)*LEN($AW$76)+1,LEN($AW$76)))</x:f>
        <x:v/>
      </x:c>
      <x:c r="BK68" s="95" t="str">
        <x:f t="shared" ref="BK68:BK87" si="31">TRIM(MID(SUBSTITUTE($AW$77,$BA$64,REPT(" ",LEN($AW$77))),($BA68-1)*LEN($AW$77)+1,LEN($AW$77)))</x:f>
        <x:v/>
      </x:c>
      <x:c r="BL68" s="95" t="str">
        <x:f t="shared" ref="BL68:BL87" si="32">TRIM(MID(SUBSTITUTE($AW$78,$BA$64,REPT(" ",LEN($AW$78))),($BA68-1)*LEN($AW$78)+1,LEN($AW$78)))</x:f>
        <x:v/>
      </x:c>
      <x:c r="BM68" s="95" t="str">
        <x:f t="shared" ref="BM68:BM87" si="33">TRIM(MID(SUBSTITUTE($AW$79,$BA$64,REPT(" ",LEN($AW$79))),($BA68-1)*LEN($AW$79)+1,LEN($AW$79)))</x:f>
        <x:v/>
      </x:c>
      <x:c r="BN68" s="95" t="str">
        <x:f t="shared" ref="BN68:BN87" si="34">TRIM(MID(SUBSTITUTE($AW$80,$BA$64,REPT(" ",LEN($AW$80))),($BA68-1)*LEN($AW$80)+1,LEN($AW$80)))</x:f>
        <x:v/>
      </x:c>
      <x:c r="BO68" s="95" t="str">
        <x:f t="shared" ref="BO68:BO87" si="35">TRIM(MID(SUBSTITUTE($AW$81,$BA$64,REPT(" ",LEN($AW$81))),($BA68-1)*LEN($AW$81)+1,LEN($AW$81)))</x:f>
        <x:v/>
      </x:c>
      <x:c r="BP68" s="95" t="str">
        <x:f t="shared" ref="BP68:BP87" si="36">TRIM(MID(SUBSTITUTE($AW$82,$BA$64,REPT(" ",LEN($AW$82))),($BA68-1)*LEN($AW$82)+1,LEN($AW$82)))</x:f>
        <x:v/>
      </x:c>
      <x:c r="BQ68" s="95" t="str">
        <x:f t="shared" ref="BQ68:BQ87" si="37">TRIM(MID(SUBSTITUTE($AW$83,$BA$64,REPT(" ",LEN($AW$83))),($BA68-1)*LEN($AW$83)+1,LEN($AW$83)))</x:f>
        <x:v/>
      </x:c>
      <x:c r="BR68" s="95" t="str">
        <x:f t="shared" ref="BR68:BR87" si="38">TRIM(MID(SUBSTITUTE($AW$84,$BA$64,REPT(" ",LEN($AW$84))),($BA68-1)*LEN($AW$84)+1,LEN($AW$84)))</x:f>
        <x:v/>
      </x:c>
      <x:c r="BS68" s="95" t="str">
        <x:f t="shared" ref="BS68:BS87" si="39">TRIM(MID(SUBSTITUTE($AW$85,$BA$64,REPT(" ",LEN($AW$85))),($BA68-1)*LEN($AW$85)+1,LEN($AW$85)))</x:f>
        <x:v/>
      </x:c>
      <x:c r="BT68" s="95" t="str">
        <x:f t="shared" ref="BT68:BT87" si="40">TRIM(MID(SUBSTITUTE($AW$86,$BA$64,REPT(" ",LEN($AW$86))),($BA68-1)*LEN($AW$86)+1,LEN($AW$86)))</x:f>
        <x:v/>
      </x:c>
      <x:c r="BU68" s="94" t="str">
        <x:f t="shared" ref="BU68:BU87" si="41">TRIM(MID(SUBSTITUTE($AW$87,$BA$64,REPT(" ",LEN($AW$87))),($BA68-1)*LEN($AW$87)+1,LEN($AW$87)))</x:f>
        <x:v/>
      </x:c>
      <x:c r="BV68" s="184" t="str">
        <x:f>IF(BX68=0,"",CONCATENATE(BW68,"68:",BW68,BX68+67))</x:f>
        <x:v/>
      </x:c>
      <x:c r="BW68" s="95" t="s">
        <x:v>157</x:v>
      </x:c>
      <x:c r="BX68" s="95">
        <x:f>BB66</x:f>
        <x:v>0</x:v>
      </x:c>
    </x:row>
    <x:row r="69" spans="1:76" s="25" customFormat="1" ht="15.6" x14ac:dyDescent="0.3">
      <x:c r="A69" s="89"/>
      <x:c r="B69" s="264">
        <x:v>2</x:v>
      </x:c>
      <x:c r="C69" s="119" t="inlineStr">
        <x:f t="shared" si="11"/>
        <x:v/>
        <x:is>
          <x:t xml:space="preserve">Urban</x:t>
        </x:is>
      </x:c>
      <x:c r="D69" s="208" t="inlineStr">
        <x:f t="shared" ref="D69:D87" si="42">IF(OR(K12=0, K12=""),"",D12)</x:f>
        <x:v/>
        <x:is>
          <x:t xml:space="preserve">Vegetated garden</x:t>
        </x:is>
      </x:c>
      <x:c r="E69" s="166" t="str">
        <x:f t="shared" si="12"/>
        <x:v/>
      </x:c>
      <x:c r="F69" s="670"/>
      <x:c r="G69" s="671"/>
      <x:c r="H69" s="163" t="str">
        <x:f t="shared" si="13"/>
        <x:v/>
      </x:c>
      <x:c r="I69" s="321" t="str">
        <x:f t="shared" ref="I69:I87" si="43">IF(OR(K12="", K12=0),"",K12)</x:f>
        <x:v/>
      </x:c>
      <x:c r="J69" s="676" t="str">
        <x:f>IFERROR(IF(F69="","",VLOOKUP(F69,'10. Condition and Temporal'!$B$6:$F$103,5,FALSE)), "Error ▲")</x:f>
        <x:v/>
      </x:c>
      <x:c r="K69" s="677"/>
      <x:c r="L69" s="283" t="str">
        <x:f t="shared" ref="L69:L87" si="44">IFERROR(IF(D69="","",IF(AX69="Distinctiveness",(((((I69*AH69*AJ69)-(I69*V69*X69))*(AV69*AT69))+(I69*V69*X69))*(AP69))/10000,((((I69*AJ69*AH69)-(I69*V69*X69))*(AV69*AR69))+(I69*V69*X69))*AP69/10000)),"Error ▲")</x:f>
        <x:v/>
      </x:c>
      <x:c r="M69" s="686" t="str">
        <x:f t="shared" ref="M69:M87" si="45">IFERROR(IF(F69="","",L69-AD69), "Error ▲")</x:f>
        <x:v/>
      </x:c>
      <x:c r="N69" s="687"/>
      <x:c r="O69" s="74"/>
      <x:c r="P69" s="12"/>
      <x:c r="R69" s="652"/>
      <x:c r="T69" s="177" t="str">
        <x:f t="shared" si="14"/>
        <x:v/>
      </x:c>
      <x:c r="U69" s="114" t="str">
        <x:f t="shared" ref="U69:U87" si="46">IF($D69="","",T12)</x:f>
        <x:v/>
      </x:c>
      <x:c r="V69" s="94" t="str">
        <x:f t="shared" si="15"/>
        <x:v/>
      </x:c>
      <x:c r="W69" s="93" t="str">
        <x:f t="shared" si="15"/>
        <x:v/>
      </x:c>
      <x:c r="X69" s="94" t="str">
        <x:f t="shared" si="15"/>
        <x:v/>
      </x:c>
      <x:c r="Y69" s="372"/>
      <x:c r="Z69" s="343"/>
      <x:c r="AA69" s="507"/>
      <x:c r="AB69" s="93" t="str">
        <x:f t="shared" si="16"/>
        <x:v/>
      </x:c>
      <x:c r="AC69" s="115" t="str">
        <x:f t="shared" si="17"/>
        <x:v/>
      </x:c>
      <x:c r="AD69" s="177" t="str">
        <x:f>IF(AC69="","",(T69*V69*X69)*AC69/10000)</x:f>
        <x:v/>
      </x:c>
      <x:c r="AE69" s="177" t="str">
        <x:f t="shared" ref="AE69:AE87" si="47">IF(AD69="","",IF(AH69&lt;V69,"Not Acceptable","Acceptable"))</x:f>
        <x:v/>
      </x:c>
      <x:c r="AF69" s="511" t="str">
        <x:f t="shared" si="18"/>
        <x:v/>
      </x:c>
      <x:c r="AG69" s="114" t="str">
        <x:f>IF(D69="","",VLOOKUP(F69,'9. All Habitats + Multipliers'!$C$4:$K$102,5,FALSE))</x:f>
        <x:v/>
      </x:c>
      <x:c r="AH69" s="344" t="str">
        <x:f>IF(AG69="","",VLOOKUP(AG69,'11. Lists'!$B$47:$D$49,2,FALSE))</x:f>
        <x:v/>
      </x:c>
      <x:c r="AI69" s="93" t="str">
        <x:f t="shared" si="19"/>
        <x:v/>
      </x:c>
      <x:c r="AJ69" s="94" t="str">
        <x:f>IF(AI69="","",VLOOKUP(AI69,'11. Lists'!$F$47:$G$51,2,FALSE))</x:f>
        <x:v/>
      </x:c>
      <x:c r="AK69" s="372"/>
      <x:c r="AL69" s="343"/>
      <x:c r="AM69" s="507"/>
      <x:c r="AN69" s="93" t="str">
        <x:f t="shared" si="20"/>
        <x:v/>
      </x:c>
      <x:c r="AO69" s="95" t="str">
        <x:f>IF(AN69="","",VLOOKUP(AN69,'11. Lists'!$F$36:$H$38,2,FALSE))</x:f>
        <x:v/>
      </x:c>
      <x:c r="AP69" s="94" t="str">
        <x:f>IF(AN69="","",VLOOKUP(AN69,'11. Lists'!$F$36:$H$38,3,FALSE))</x:f>
        <x:v/>
      </x:c>
      <x:c r="AQ69" s="114" t="str">
        <x:f>IF(D69="","",IF(AX69="Distinctiveness","N/A",VLOOKUP(F69,'10. Condition and Temporal'!$B$6:$L$103,11,FALSE)))</x:f>
        <x:v/>
      </x:c>
      <x:c r="AR69" s="118" t="str">
        <x:f>IF(AQ69="","",IF(AQ69="N/A","1",VLOOKUP(AQ69,'11. Lists'!$I$47:$K$80,3,FALSE)))</x:f>
        <x:v/>
      </x:c>
      <x:c r="AS69" s="524" t="str">
        <x:f>IF(D69="","",IF(AX69="Condition","N/A",VLOOKUP(F69,'10. Condition and Temporal'!$B$6:$M$106,12,FALSE)))</x:f>
        <x:v/>
      </x:c>
      <x:c r="AT69" s="118" t="str">
        <x:f>IF(AS69="","",IF(AS69="N/A","1",VLOOKUP(AS69,'11. Lists'!$I$47:$K$80,3,FALSE)))</x:f>
        <x:v/>
      </x:c>
      <x:c r="AU69" s="114" t="str">
        <x:f>IF(D69="","",VLOOKUP(F69,'9. All Habitats + Multipliers'!$C$4:$K$102,8,FALSE))</x:f>
        <x:v/>
      </x:c>
      <x:c r="AV69" s="115" t="str">
        <x:f>IF(AU69="","",VLOOKUP(AU69,'11. Lists'!$J$35:$K$38,2,FALSE))</x:f>
        <x:v/>
      </x:c>
      <x:c r="AW69" s="177" t="str">
        <x:f>IF(D69="","",VLOOKUP(D69,'10. Condition and Temporal'!$B$6:$M$103,4,FALSE))</x:f>
        <x:v/>
      </x:c>
      <x:c r="AX69" s="177" t="str">
        <x:f t="shared" si="21"/>
        <x:v/>
      </x:c>
      <x:c r="AY69" s="463" t="str">
        <x:f t="shared" ref="AY69:AY87" si="48">IF(COUNTIF(F69,"*grassland*"),"Grassland",IF(COUNTIF(F69,"*scree*"),"Sparsely vegetated land",C69))</x:f>
        <x:v/>
      </x:c>
      <x:c r="BA69" s="93">
        <x:v>2</x:v>
      </x:c>
      <x:c r="BB69" s="95" t="str">
        <x:f t="shared" si="22"/>
        <x:v/>
      </x:c>
      <x:c r="BC69" s="95" t="str">
        <x:f t="shared" si="23"/>
        <x:v/>
      </x:c>
      <x:c r="BD69" s="95" t="str">
        <x:f t="shared" si="24"/>
        <x:v/>
      </x:c>
      <x:c r="BE69" s="95" t="str">
        <x:f t="shared" si="25"/>
        <x:v/>
      </x:c>
      <x:c r="BF69" s="95" t="str">
        <x:f t="shared" si="26"/>
        <x:v/>
      </x:c>
      <x:c r="BG69" s="95" t="str">
        <x:f t="shared" si="27"/>
        <x:v/>
      </x:c>
      <x:c r="BH69" s="95" t="str">
        <x:f t="shared" si="28"/>
        <x:v/>
      </x:c>
      <x:c r="BI69" s="95" t="str">
        <x:f t="shared" si="29"/>
        <x:v/>
      </x:c>
      <x:c r="BJ69" s="95" t="str">
        <x:f t="shared" si="30"/>
        <x:v/>
      </x:c>
      <x:c r="BK69" s="95" t="str">
        <x:f t="shared" si="31"/>
        <x:v/>
      </x:c>
      <x:c r="BL69" s="95" t="str">
        <x:f t="shared" si="32"/>
        <x:v/>
      </x:c>
      <x:c r="BM69" s="95" t="str">
        <x:f t="shared" si="33"/>
        <x:v/>
      </x:c>
      <x:c r="BN69" s="95" t="str">
        <x:f t="shared" si="34"/>
        <x:v/>
      </x:c>
      <x:c r="BO69" s="95" t="str">
        <x:f t="shared" si="35"/>
        <x:v/>
      </x:c>
      <x:c r="BP69" s="95" t="str">
        <x:f t="shared" si="36"/>
        <x:v/>
      </x:c>
      <x:c r="BQ69" s="95" t="str">
        <x:f t="shared" si="37"/>
        <x:v/>
      </x:c>
      <x:c r="BR69" s="95" t="str">
        <x:f t="shared" si="38"/>
        <x:v/>
      </x:c>
      <x:c r="BS69" s="95" t="str">
        <x:f t="shared" si="39"/>
        <x:v/>
      </x:c>
      <x:c r="BT69" s="95" t="str">
        <x:f t="shared" si="40"/>
        <x:v/>
      </x:c>
      <x:c r="BU69" s="94" t="str">
        <x:f t="shared" si="41"/>
        <x:v/>
      </x:c>
      <x:c r="BV69" s="184" t="str">
        <x:f t="shared" ref="BV69:BV87" si="49">IF(BX69=0,"",CONCATENATE(BW69,"68:",BW69,BX69+67))</x:f>
        <x:v/>
      </x:c>
      <x:c r="BW69" s="95" t="s">
        <x:v>158</x:v>
      </x:c>
      <x:c r="BX69" s="95">
        <x:f>BC66</x:f>
        <x:v>0</x:v>
      </x:c>
    </x:row>
    <x:row r="70" spans="1:76" s="25" customFormat="1" ht="15.6" x14ac:dyDescent="0.3">
      <x:c r="A70" s="89"/>
      <x:c r="B70" s="264">
        <x:v>3</x:v>
      </x:c>
      <x:c r="C70" s="119" t="inlineStr">
        <x:f t="shared" si="11"/>
        <x:v/>
        <x:is>
          <x:t xml:space="preserve">Urban</x:t>
        </x:is>
      </x:c>
      <x:c r="D70" s="208" t="inlineStr">
        <x:f t="shared" si="42"/>
        <x:v/>
        <x:is>
          <x:t xml:space="preserve">Vegetated garden</x:t>
        </x:is>
      </x:c>
      <x:c r="E70" s="166" t="str">
        <x:f t="shared" si="12"/>
        <x:v/>
      </x:c>
      <x:c r="F70" s="670"/>
      <x:c r="G70" s="671"/>
      <x:c r="H70" s="163" t="str">
        <x:f t="shared" si="13"/>
        <x:v/>
      </x:c>
      <x:c r="I70" s="321" t="str">
        <x:f t="shared" si="43"/>
        <x:v/>
      </x:c>
      <x:c r="J70" s="676" t="str">
        <x:f>IFERROR(IF(F70="","",VLOOKUP(F70,'10. Condition and Temporal'!$B$6:$F$103,5,FALSE)), "Error ▲")</x:f>
        <x:v/>
      </x:c>
      <x:c r="K70" s="677"/>
      <x:c r="L70" s="283" t="str">
        <x:f t="shared" si="44"/>
        <x:v/>
      </x:c>
      <x:c r="M70" s="686" t="str">
        <x:f t="shared" si="45"/>
        <x:v/>
      </x:c>
      <x:c r="N70" s="687"/>
      <x:c r="O70" s="74"/>
      <x:c r="P70" s="12"/>
      <x:c r="R70" s="652"/>
      <x:c r="T70" s="177" t="str">
        <x:f t="shared" si="14"/>
        <x:v/>
      </x:c>
      <x:c r="U70" s="114" t="str">
        <x:f t="shared" si="46"/>
        <x:v/>
      </x:c>
      <x:c r="V70" s="94" t="str">
        <x:f t="shared" si="15"/>
        <x:v/>
      </x:c>
      <x:c r="W70" s="93" t="str">
        <x:f t="shared" si="15"/>
        <x:v/>
      </x:c>
      <x:c r="X70" s="94" t="str">
        <x:f t="shared" si="15"/>
        <x:v/>
      </x:c>
      <x:c r="Y70" s="372"/>
      <x:c r="Z70" s="343"/>
      <x:c r="AA70" s="507"/>
      <x:c r="AB70" s="93" t="str">
        <x:f t="shared" si="16"/>
        <x:v/>
      </x:c>
      <x:c r="AC70" s="115" t="str">
        <x:f t="shared" si="17"/>
        <x:v/>
      </x:c>
      <x:c r="AD70" s="177" t="str">
        <x:f t="shared" ref="AD70:AD87" si="50">IF(AC70="","",(T70*V70*X70)*AC70/10000)</x:f>
        <x:v/>
      </x:c>
      <x:c r="AE70" s="177" t="str">
        <x:f t="shared" si="47"/>
        <x:v/>
      </x:c>
      <x:c r="AF70" s="511" t="str">
        <x:f t="shared" si="18"/>
        <x:v/>
      </x:c>
      <x:c r="AG70" s="114" t="str">
        <x:f>IF(D70="","",VLOOKUP(F70,'9. All Habitats + Multipliers'!$C$4:$K$102,5,FALSE))</x:f>
        <x:v/>
      </x:c>
      <x:c r="AH70" s="344" t="str">
        <x:f>IF(AG70="","",VLOOKUP(AG70,'11. Lists'!$B$47:$D$49,2,FALSE))</x:f>
        <x:v/>
      </x:c>
      <x:c r="AI70" s="93" t="str">
        <x:f t="shared" si="19"/>
        <x:v/>
      </x:c>
      <x:c r="AJ70" s="94" t="str">
        <x:f>IF(AI70="","",VLOOKUP(AI70,'11. Lists'!$F$47:$G$51,2,FALSE))</x:f>
        <x:v/>
      </x:c>
      <x:c r="AK70" s="372"/>
      <x:c r="AL70" s="343"/>
      <x:c r="AM70" s="507"/>
      <x:c r="AN70" s="93" t="str">
        <x:f t="shared" si="20"/>
        <x:v/>
      </x:c>
      <x:c r="AO70" s="95" t="str">
        <x:f>IF(AN70="","",VLOOKUP(AN70,'11. Lists'!$F$36:$H$38,2,FALSE))</x:f>
        <x:v/>
      </x:c>
      <x:c r="AP70" s="94" t="str">
        <x:f>IF(AN70="","",VLOOKUP(AN70,'11. Lists'!$F$36:$H$38,3,FALSE))</x:f>
        <x:v/>
      </x:c>
      <x:c r="AQ70" s="114" t="str">
        <x:f>IF(D70="","",IF(AX70="Distinctiveness","N/A",VLOOKUP(F70,'10. Condition and Temporal'!$B$6:$L$103,11,FALSE)))</x:f>
        <x:v/>
      </x:c>
      <x:c r="AR70" s="118" t="str">
        <x:f>IF(AQ70="","",IF(AQ70="N/A","1",VLOOKUP(AQ70,'11. Lists'!$I$47:$K$80,3,FALSE)))</x:f>
        <x:v/>
      </x:c>
      <x:c r="AS70" s="524" t="str">
        <x:f>IF(D70="","",IF(AX70="Condition","N/A",VLOOKUP(F70,'10. Condition and Temporal'!$B$6:$M$106,12,FALSE)))</x:f>
        <x:v/>
      </x:c>
      <x:c r="AT70" s="118" t="str">
        <x:f>IF(AS70="","",IF(AS70="N/A","1",VLOOKUP(AS70,'11. Lists'!$I$47:$K$80,3,FALSE)))</x:f>
        <x:v/>
      </x:c>
      <x:c r="AU70" s="114" t="str">
        <x:f>IF(D70="","",VLOOKUP(F70,'9. All Habitats + Multipliers'!$C$4:$K$102,8,FALSE))</x:f>
        <x:v/>
      </x:c>
      <x:c r="AV70" s="115" t="str">
        <x:f>IF(AU70="","",VLOOKUP(AU70,'11. Lists'!$J$35:$K$38,2,FALSE))</x:f>
        <x:v/>
      </x:c>
      <x:c r="AW70" s="177" t="str">
        <x:f>IF(D70="","",VLOOKUP(D70,'10. Condition and Temporal'!$B$6:$M$103,4,FALSE))</x:f>
        <x:v/>
      </x:c>
      <x:c r="AX70" s="177" t="str">
        <x:f t="shared" si="21"/>
        <x:v/>
      </x:c>
      <x:c r="AY70" s="463" t="str">
        <x:f t="shared" si="48"/>
        <x:v/>
      </x:c>
      <x:c r="BA70" s="93">
        <x:v>3</x:v>
      </x:c>
      <x:c r="BB70" s="95" t="str">
        <x:f t="shared" si="22"/>
        <x:v/>
      </x:c>
      <x:c r="BC70" s="95" t="str">
        <x:f t="shared" si="23"/>
        <x:v/>
      </x:c>
      <x:c r="BD70" s="95" t="str">
        <x:f t="shared" si="24"/>
        <x:v/>
      </x:c>
      <x:c r="BE70" s="95" t="str">
        <x:f t="shared" si="25"/>
        <x:v/>
      </x:c>
      <x:c r="BF70" s="95" t="str">
        <x:f t="shared" si="26"/>
        <x:v/>
      </x:c>
      <x:c r="BG70" s="95" t="str">
        <x:f t="shared" si="27"/>
        <x:v/>
      </x:c>
      <x:c r="BH70" s="95" t="str">
        <x:f t="shared" si="28"/>
        <x:v/>
      </x:c>
      <x:c r="BI70" s="95" t="str">
        <x:f t="shared" si="29"/>
        <x:v/>
      </x:c>
      <x:c r="BJ70" s="95" t="str">
        <x:f t="shared" si="30"/>
        <x:v/>
      </x:c>
      <x:c r="BK70" s="95" t="str">
        <x:f t="shared" si="31"/>
        <x:v/>
      </x:c>
      <x:c r="BL70" s="95" t="str">
        <x:f t="shared" si="32"/>
        <x:v/>
      </x:c>
      <x:c r="BM70" s="95" t="str">
        <x:f t="shared" si="33"/>
        <x:v/>
      </x:c>
      <x:c r="BN70" s="95" t="str">
        <x:f t="shared" si="34"/>
        <x:v/>
      </x:c>
      <x:c r="BO70" s="95" t="str">
        <x:f t="shared" si="35"/>
        <x:v/>
      </x:c>
      <x:c r="BP70" s="95" t="str">
        <x:f t="shared" si="36"/>
        <x:v/>
      </x:c>
      <x:c r="BQ70" s="95" t="str">
        <x:f t="shared" si="37"/>
        <x:v/>
      </x:c>
      <x:c r="BR70" s="95" t="str">
        <x:f t="shared" si="38"/>
        <x:v/>
      </x:c>
      <x:c r="BS70" s="95" t="str">
        <x:f t="shared" si="39"/>
        <x:v/>
      </x:c>
      <x:c r="BT70" s="95" t="str">
        <x:f t="shared" si="40"/>
        <x:v/>
      </x:c>
      <x:c r="BU70" s="94" t="str">
        <x:f t="shared" si="41"/>
        <x:v/>
      </x:c>
      <x:c r="BV70" s="184" t="str">
        <x:f t="shared" si="49"/>
        <x:v/>
      </x:c>
      <x:c r="BW70" s="95" t="s">
        <x:v>159</x:v>
      </x:c>
      <x:c r="BX70" s="95">
        <x:f>BD66</x:f>
        <x:v>0</x:v>
      </x:c>
    </x:row>
    <x:row r="71" spans="1:76" s="25" customFormat="1" ht="15.6" x14ac:dyDescent="0.3">
      <x:c r="A71" s="89"/>
      <x:c r="B71" s="264">
        <x:v>4</x:v>
      </x:c>
      <x:c r="C71" s="119" t="inlineStr">
        <x:f t="shared" si="11"/>
        <x:v/>
        <x:is>
          <x:t xml:space="preserve">Urban</x:t>
        </x:is>
      </x:c>
      <x:c r="D71" s="208" t="inlineStr">
        <x:f t="shared" si="42"/>
        <x:v/>
        <x:is>
          <x:t xml:space="preserve">Vegetated garden</x:t>
        </x:is>
      </x:c>
      <x:c r="E71" s="166" t="str">
        <x:f t="shared" si="12"/>
        <x:v/>
      </x:c>
      <x:c r="F71" s="670"/>
      <x:c r="G71" s="671"/>
      <x:c r="H71" s="163" t="str">
        <x:f t="shared" si="13"/>
        <x:v/>
      </x:c>
      <x:c r="I71" s="321" t="str">
        <x:f t="shared" si="43"/>
        <x:v/>
      </x:c>
      <x:c r="J71" s="676" t="str">
        <x:f>IFERROR(IF(F71="","",VLOOKUP(F71,'10. Condition and Temporal'!$B$6:$F$103,5,FALSE)), "Error ▲")</x:f>
        <x:v/>
      </x:c>
      <x:c r="K71" s="677"/>
      <x:c r="L71" s="283" t="str">
        <x:f t="shared" si="44"/>
        <x:v/>
      </x:c>
      <x:c r="M71" s="686" t="str">
        <x:f t="shared" si="45"/>
        <x:v/>
      </x:c>
      <x:c r="N71" s="687"/>
      <x:c r="O71" s="74"/>
      <x:c r="P71" s="12"/>
      <x:c r="R71" s="652"/>
      <x:c r="T71" s="177" t="str">
        <x:f t="shared" si="14"/>
        <x:v/>
      </x:c>
      <x:c r="U71" s="114" t="str">
        <x:f t="shared" si="46"/>
        <x:v/>
      </x:c>
      <x:c r="V71" s="94" t="str">
        <x:f t="shared" si="15"/>
        <x:v/>
      </x:c>
      <x:c r="W71" s="93" t="str">
        <x:f t="shared" si="15"/>
        <x:v/>
      </x:c>
      <x:c r="X71" s="94" t="str">
        <x:f t="shared" si="15"/>
        <x:v/>
      </x:c>
      <x:c r="Y71" s="372"/>
      <x:c r="Z71" s="343"/>
      <x:c r="AA71" s="507"/>
      <x:c r="AB71" s="93" t="str">
        <x:f t="shared" si="16"/>
        <x:v/>
      </x:c>
      <x:c r="AC71" s="115" t="str">
        <x:f t="shared" si="17"/>
        <x:v/>
      </x:c>
      <x:c r="AD71" s="177" t="str">
        <x:f t="shared" si="50"/>
        <x:v/>
      </x:c>
      <x:c r="AE71" s="177" t="str">
        <x:f t="shared" si="47"/>
        <x:v/>
      </x:c>
      <x:c r="AF71" s="511" t="str">
        <x:f t="shared" si="18"/>
        <x:v/>
      </x:c>
      <x:c r="AG71" s="114" t="str">
        <x:f>IF(D71="","",VLOOKUP(F71,'9. All Habitats + Multipliers'!$C$4:$K$102,5,FALSE))</x:f>
        <x:v/>
      </x:c>
      <x:c r="AH71" s="344" t="str">
        <x:f>IF(AG71="","",VLOOKUP(AG71,'11. Lists'!$B$47:$D$49,2,FALSE))</x:f>
        <x:v/>
      </x:c>
      <x:c r="AI71" s="93" t="str">
        <x:f t="shared" si="19"/>
        <x:v/>
      </x:c>
      <x:c r="AJ71" s="94" t="str">
        <x:f>IF(AI71="","",VLOOKUP(AI71,'11. Lists'!$F$47:$G$51,2,FALSE))</x:f>
        <x:v/>
      </x:c>
      <x:c r="AK71" s="372"/>
      <x:c r="AL71" s="343"/>
      <x:c r="AM71" s="507"/>
      <x:c r="AN71" s="93" t="str">
        <x:f t="shared" si="20"/>
        <x:v/>
      </x:c>
      <x:c r="AO71" s="95" t="str">
        <x:f>IF(AN71="","",VLOOKUP(AN71,'11. Lists'!$F$36:$H$38,2,FALSE))</x:f>
        <x:v/>
      </x:c>
      <x:c r="AP71" s="94" t="str">
        <x:f>IF(AN71="","",VLOOKUP(AN71,'11. Lists'!$F$36:$H$38,3,FALSE))</x:f>
        <x:v/>
      </x:c>
      <x:c r="AQ71" s="114" t="str">
        <x:f>IF(D71="","",IF(AX71="Distinctiveness","N/A",VLOOKUP(F71,'10. Condition and Temporal'!$B$6:$L$103,11,FALSE)))</x:f>
        <x:v/>
      </x:c>
      <x:c r="AR71" s="118" t="str">
        <x:f>IF(AQ71="","",IF(AQ71="N/A","1",VLOOKUP(AQ71,'11. Lists'!$I$47:$K$80,3,FALSE)))</x:f>
        <x:v/>
      </x:c>
      <x:c r="AS71" s="524" t="str">
        <x:f>IF(D71="","",IF(AX71="Condition","N/A",VLOOKUP(F71,'10. Condition and Temporal'!$B$6:$M$106,12,FALSE)))</x:f>
        <x:v/>
      </x:c>
      <x:c r="AT71" s="118" t="str">
        <x:f>IF(AS71="","",IF(AS71="N/A","1",VLOOKUP(AS71,'11. Lists'!$I$47:$K$80,3,FALSE)))</x:f>
        <x:v/>
      </x:c>
      <x:c r="AU71" s="114" t="str">
        <x:f>IF(D71="","",VLOOKUP(F71,'9. All Habitats + Multipliers'!$C$4:$K$102,8,FALSE))</x:f>
        <x:v/>
      </x:c>
      <x:c r="AV71" s="115" t="str">
        <x:f>IF(AU71="","",VLOOKUP(AU71,'11. Lists'!$J$35:$K$38,2,FALSE))</x:f>
        <x:v/>
      </x:c>
      <x:c r="AW71" s="177" t="str">
        <x:f>IF(D71="","",VLOOKUP(D71,'10. Condition and Temporal'!$B$6:$M$103,4,FALSE))</x:f>
        <x:v/>
      </x:c>
      <x:c r="AX71" s="177" t="str">
        <x:f t="shared" si="21"/>
        <x:v/>
      </x:c>
      <x:c r="AY71" s="463" t="str">
        <x:f t="shared" si="48"/>
        <x:v/>
      </x:c>
      <x:c r="BA71" s="93">
        <x:v>4</x:v>
      </x:c>
      <x:c r="BB71" s="95" t="str">
        <x:f t="shared" si="22"/>
        <x:v/>
      </x:c>
      <x:c r="BC71" s="95" t="str">
        <x:f t="shared" si="23"/>
        <x:v/>
      </x:c>
      <x:c r="BD71" s="95" t="str">
        <x:f t="shared" si="24"/>
        <x:v/>
      </x:c>
      <x:c r="BE71" s="95" t="str">
        <x:f t="shared" si="25"/>
        <x:v/>
      </x:c>
      <x:c r="BF71" s="95" t="str">
        <x:f t="shared" si="26"/>
        <x:v/>
      </x:c>
      <x:c r="BG71" s="95" t="str">
        <x:f t="shared" si="27"/>
        <x:v/>
      </x:c>
      <x:c r="BH71" s="95" t="str">
        <x:f t="shared" si="28"/>
        <x:v/>
      </x:c>
      <x:c r="BI71" s="95" t="str">
        <x:f t="shared" si="29"/>
        <x:v/>
      </x:c>
      <x:c r="BJ71" s="95" t="str">
        <x:f t="shared" si="30"/>
        <x:v/>
      </x:c>
      <x:c r="BK71" s="95" t="str">
        <x:f t="shared" si="31"/>
        <x:v/>
      </x:c>
      <x:c r="BL71" s="95" t="str">
        <x:f t="shared" si="32"/>
        <x:v/>
      </x:c>
      <x:c r="BM71" s="95" t="str">
        <x:f t="shared" si="33"/>
        <x:v/>
      </x:c>
      <x:c r="BN71" s="95" t="str">
        <x:f t="shared" si="34"/>
        <x:v/>
      </x:c>
      <x:c r="BO71" s="95" t="str">
        <x:f t="shared" si="35"/>
        <x:v/>
      </x:c>
      <x:c r="BP71" s="95" t="str">
        <x:f t="shared" si="36"/>
        <x:v/>
      </x:c>
      <x:c r="BQ71" s="95" t="str">
        <x:f t="shared" si="37"/>
        <x:v/>
      </x:c>
      <x:c r="BR71" s="95" t="str">
        <x:f t="shared" si="38"/>
        <x:v/>
      </x:c>
      <x:c r="BS71" s="95" t="str">
        <x:f t="shared" si="39"/>
        <x:v/>
      </x:c>
      <x:c r="BT71" s="95" t="str">
        <x:f t="shared" si="40"/>
        <x:v/>
      </x:c>
      <x:c r="BU71" s="94" t="str">
        <x:f t="shared" si="41"/>
        <x:v/>
      </x:c>
      <x:c r="BV71" s="184" t="str">
        <x:f t="shared" si="49"/>
        <x:v/>
      </x:c>
      <x:c r="BW71" s="95" t="s">
        <x:v>160</x:v>
      </x:c>
      <x:c r="BX71" s="95">
        <x:f>BE66</x:f>
        <x:v>0</x:v>
      </x:c>
    </x:row>
    <x:row r="72" spans="1:76" s="25" customFormat="1" ht="15.6" x14ac:dyDescent="0.3">
      <x:c r="A72" s="89"/>
      <x:c r="B72" s="264">
        <x:v>5</x:v>
      </x:c>
      <x:c r="C72" s="119" t="inlineStr">
        <x:f t="shared" si="11"/>
        <x:v/>
        <x:is>
          <x:t xml:space="preserve">Urban</x:t>
        </x:is>
      </x:c>
      <x:c r="D72" s="208" t="inlineStr">
        <x:f t="shared" si="42"/>
        <x:v/>
        <x:is>
          <x:t xml:space="preserve">Developed land; sealed surface</x:t>
        </x:is>
      </x:c>
      <x:c r="E72" s="166" t="str">
        <x:f t="shared" si="12"/>
        <x:v/>
      </x:c>
      <x:c r="F72" s="670"/>
      <x:c r="G72" s="671"/>
      <x:c r="H72" s="163" t="str">
        <x:f t="shared" si="13"/>
        <x:v/>
      </x:c>
      <x:c r="I72" s="321" t="str">
        <x:f t="shared" si="43"/>
        <x:v/>
      </x:c>
      <x:c r="J72" s="676" t="str">
        <x:f>IFERROR(IF(F72="","",VLOOKUP(F72,'10. Condition and Temporal'!$B$6:$F$103,5,FALSE)), "Error ▲")</x:f>
        <x:v/>
      </x:c>
      <x:c r="K72" s="677"/>
      <x:c r="L72" s="283" t="str">
        <x:f t="shared" si="44"/>
        <x:v/>
      </x:c>
      <x:c r="M72" s="686" t="str">
        <x:f t="shared" si="45"/>
        <x:v/>
      </x:c>
      <x:c r="N72" s="687"/>
      <x:c r="O72" s="74"/>
      <x:c r="P72" s="12"/>
      <x:c r="R72" s="652"/>
      <x:c r="T72" s="177" t="str">
        <x:f t="shared" si="14"/>
        <x:v/>
      </x:c>
      <x:c r="U72" s="114" t="str">
        <x:f t="shared" si="46"/>
        <x:v/>
      </x:c>
      <x:c r="V72" s="94" t="str">
        <x:f t="shared" si="15"/>
        <x:v/>
      </x:c>
      <x:c r="W72" s="93" t="str">
        <x:f t="shared" si="15"/>
        <x:v/>
      </x:c>
      <x:c r="X72" s="94" t="str">
        <x:f t="shared" si="15"/>
        <x:v/>
      </x:c>
      <x:c r="Y72" s="372"/>
      <x:c r="Z72" s="343"/>
      <x:c r="AA72" s="507"/>
      <x:c r="AB72" s="93" t="str">
        <x:f t="shared" si="16"/>
        <x:v/>
      </x:c>
      <x:c r="AC72" s="115" t="str">
        <x:f t="shared" si="17"/>
        <x:v/>
      </x:c>
      <x:c r="AD72" s="177" t="str">
        <x:f t="shared" si="50"/>
        <x:v/>
      </x:c>
      <x:c r="AE72" s="177" t="str">
        <x:f t="shared" si="47"/>
        <x:v/>
      </x:c>
      <x:c r="AF72" s="511" t="str">
        <x:f t="shared" si="18"/>
        <x:v/>
      </x:c>
      <x:c r="AG72" s="114" t="str">
        <x:f>IF(D72="","",VLOOKUP(F72,'9. All Habitats + Multipliers'!$C$4:$K$102,5,FALSE))</x:f>
        <x:v/>
      </x:c>
      <x:c r="AH72" s="344" t="str">
        <x:f>IF(AG72="","",VLOOKUP(AG72,'11. Lists'!$B$47:$D$49,2,FALSE))</x:f>
        <x:v/>
      </x:c>
      <x:c r="AI72" s="93" t="str">
        <x:f t="shared" si="19"/>
        <x:v/>
      </x:c>
      <x:c r="AJ72" s="94" t="str">
        <x:f>IF(AI72="","",VLOOKUP(AI72,'11. Lists'!$F$47:$G$51,2,FALSE))</x:f>
        <x:v/>
      </x:c>
      <x:c r="AK72" s="372"/>
      <x:c r="AL72" s="343"/>
      <x:c r="AM72" s="507"/>
      <x:c r="AN72" s="93" t="str">
        <x:f t="shared" si="20"/>
        <x:v/>
      </x:c>
      <x:c r="AO72" s="95" t="str">
        <x:f>IF(AN72="","",VLOOKUP(AN72,'11. Lists'!$F$36:$H$38,2,FALSE))</x:f>
        <x:v/>
      </x:c>
      <x:c r="AP72" s="94" t="str">
        <x:f>IF(AN72="","",VLOOKUP(AN72,'11. Lists'!$F$36:$H$38,3,FALSE))</x:f>
        <x:v/>
      </x:c>
      <x:c r="AQ72" s="114" t="str">
        <x:f>IF(D72="","",IF(AX72="Distinctiveness","N/A",VLOOKUP(F72,'10. Condition and Temporal'!$B$6:$L$103,11,FALSE)))</x:f>
        <x:v/>
      </x:c>
      <x:c r="AR72" s="118" t="str">
        <x:f>IF(AQ72="","",IF(AQ72="N/A","1",VLOOKUP(AQ72,'11. Lists'!$I$47:$K$80,3,FALSE)))</x:f>
        <x:v/>
      </x:c>
      <x:c r="AS72" s="524" t="str">
        <x:f>IF(D72="","",IF(AX72="Condition","N/A",VLOOKUP(F72,'10. Condition and Temporal'!$B$6:$M$106,12,FALSE)))</x:f>
        <x:v/>
      </x:c>
      <x:c r="AT72" s="118" t="str">
        <x:f>IF(AS72="","",IF(AS72="N/A","1",VLOOKUP(AS72,'11. Lists'!$I$47:$K$80,3,FALSE)))</x:f>
        <x:v/>
      </x:c>
      <x:c r="AU72" s="114" t="str">
        <x:f>IF(D72="","",VLOOKUP(F72,'9. All Habitats + Multipliers'!$C$4:$K$102,8,FALSE))</x:f>
        <x:v/>
      </x:c>
      <x:c r="AV72" s="115" t="str">
        <x:f>IF(AU72="","",VLOOKUP(AU72,'11. Lists'!$J$35:$K$38,2,FALSE))</x:f>
        <x:v/>
      </x:c>
      <x:c r="AW72" s="177" t="str">
        <x:f>IF(D72="","",VLOOKUP(D72,'10. Condition and Temporal'!$B$6:$M$103,4,FALSE))</x:f>
        <x:v/>
      </x:c>
      <x:c r="AX72" s="177" t="str">
        <x:f t="shared" si="21"/>
        <x:v/>
      </x:c>
      <x:c r="AY72" s="463" t="str">
        <x:f t="shared" si="48"/>
        <x:v/>
      </x:c>
      <x:c r="BA72" s="93">
        <x:v>5</x:v>
      </x:c>
      <x:c r="BB72" s="95" t="str">
        <x:f t="shared" si="22"/>
        <x:v/>
      </x:c>
      <x:c r="BC72" s="95" t="str">
        <x:f t="shared" si="23"/>
        <x:v/>
      </x:c>
      <x:c r="BD72" s="95" t="str">
        <x:f t="shared" si="24"/>
        <x:v/>
      </x:c>
      <x:c r="BE72" s="95" t="str">
        <x:f t="shared" si="25"/>
        <x:v/>
      </x:c>
      <x:c r="BF72" s="95" t="str">
        <x:f t="shared" si="26"/>
        <x:v/>
      </x:c>
      <x:c r="BG72" s="95" t="str">
        <x:f t="shared" si="27"/>
        <x:v/>
      </x:c>
      <x:c r="BH72" s="95" t="str">
        <x:f t="shared" si="28"/>
        <x:v/>
      </x:c>
      <x:c r="BI72" s="95" t="str">
        <x:f t="shared" si="29"/>
        <x:v/>
      </x:c>
      <x:c r="BJ72" s="95" t="str">
        <x:f t="shared" si="30"/>
        <x:v/>
      </x:c>
      <x:c r="BK72" s="95" t="str">
        <x:f t="shared" si="31"/>
        <x:v/>
      </x:c>
      <x:c r="BL72" s="95" t="str">
        <x:f t="shared" si="32"/>
        <x:v/>
      </x:c>
      <x:c r="BM72" s="95" t="str">
        <x:f t="shared" si="33"/>
        <x:v/>
      </x:c>
      <x:c r="BN72" s="95" t="str">
        <x:f t="shared" si="34"/>
        <x:v/>
      </x:c>
      <x:c r="BO72" s="95" t="str">
        <x:f t="shared" si="35"/>
        <x:v/>
      </x:c>
      <x:c r="BP72" s="95" t="str">
        <x:f t="shared" si="36"/>
        <x:v/>
      </x:c>
      <x:c r="BQ72" s="95" t="str">
        <x:f t="shared" si="37"/>
        <x:v/>
      </x:c>
      <x:c r="BR72" s="95" t="str">
        <x:f t="shared" si="38"/>
        <x:v/>
      </x:c>
      <x:c r="BS72" s="95" t="str">
        <x:f t="shared" si="39"/>
        <x:v/>
      </x:c>
      <x:c r="BT72" s="95" t="str">
        <x:f t="shared" si="40"/>
        <x:v/>
      </x:c>
      <x:c r="BU72" s="94" t="str">
        <x:f t="shared" si="41"/>
        <x:v/>
      </x:c>
      <x:c r="BV72" s="184" t="str">
        <x:f t="shared" si="49"/>
        <x:v/>
      </x:c>
      <x:c r="BW72" s="95" t="s">
        <x:v>161</x:v>
      </x:c>
      <x:c r="BX72" s="95">
        <x:f>BF66</x:f>
        <x:v>0</x:v>
      </x:c>
    </x:row>
    <x:row r="73" spans="1:76" s="25" customFormat="1" ht="15.6" x14ac:dyDescent="0.3">
      <x:c r="A73" s="89"/>
      <x:c r="B73" s="264">
        <x:v>6</x:v>
      </x:c>
      <x:c r="C73" s="119" t="str">
        <x:f t="shared" si="11"/>
        <x:v/>
      </x:c>
      <x:c r="D73" s="208" t="str">
        <x:f t="shared" si="42"/>
        <x:v/>
      </x:c>
      <x:c r="E73" s="166" t="str">
        <x:f t="shared" si="12"/>
        <x:v/>
      </x:c>
      <x:c r="F73" s="670"/>
      <x:c r="G73" s="671"/>
      <x:c r="H73" s="163" t="str">
        <x:f t="shared" si="13"/>
        <x:v/>
      </x:c>
      <x:c r="I73" s="321" t="str">
        <x:f t="shared" si="43"/>
        <x:v/>
      </x:c>
      <x:c r="J73" s="676" t="str">
        <x:f>IFERROR(IF(F73="","",VLOOKUP(F73,'10. Condition and Temporal'!$B$6:$F$103,5,FALSE)), "Error ▲")</x:f>
        <x:v/>
      </x:c>
      <x:c r="K73" s="677"/>
      <x:c r="L73" s="283" t="str">
        <x:f t="shared" si="44"/>
        <x:v/>
      </x:c>
      <x:c r="M73" s="686" t="str">
        <x:f t="shared" si="45"/>
        <x:v/>
      </x:c>
      <x:c r="N73" s="687"/>
      <x:c r="O73" s="74"/>
      <x:c r="P73" s="12"/>
      <x:c r="R73" s="652"/>
      <x:c r="T73" s="177" t="str">
        <x:f t="shared" si="14"/>
        <x:v/>
      </x:c>
      <x:c r="U73" s="114" t="str">
        <x:f t="shared" si="46"/>
        <x:v/>
      </x:c>
      <x:c r="V73" s="94" t="str">
        <x:f t="shared" si="15"/>
        <x:v/>
      </x:c>
      <x:c r="W73" s="93" t="str">
        <x:f t="shared" si="15"/>
        <x:v/>
      </x:c>
      <x:c r="X73" s="94" t="str">
        <x:f t="shared" si="15"/>
        <x:v/>
      </x:c>
      <x:c r="Y73" s="372"/>
      <x:c r="Z73" s="343"/>
      <x:c r="AA73" s="507"/>
      <x:c r="AB73" s="93" t="str">
        <x:f t="shared" si="16"/>
        <x:v/>
      </x:c>
      <x:c r="AC73" s="115" t="str">
        <x:f t="shared" si="17"/>
        <x:v/>
      </x:c>
      <x:c r="AD73" s="177" t="str">
        <x:f t="shared" si="50"/>
        <x:v/>
      </x:c>
      <x:c r="AE73" s="177" t="str">
        <x:f t="shared" si="47"/>
        <x:v/>
      </x:c>
      <x:c r="AF73" s="511" t="str">
        <x:f t="shared" si="18"/>
        <x:v/>
      </x:c>
      <x:c r="AG73" s="114" t="str">
        <x:f>IF(D73="","",VLOOKUP(F73,'9. All Habitats + Multipliers'!$C$4:$K$102,5,FALSE))</x:f>
        <x:v/>
      </x:c>
      <x:c r="AH73" s="344" t="str">
        <x:f>IF(AG73="","",VLOOKUP(AG73,'11. Lists'!$B$47:$D$49,2,FALSE))</x:f>
        <x:v/>
      </x:c>
      <x:c r="AI73" s="93" t="str">
        <x:f t="shared" si="19"/>
        <x:v/>
      </x:c>
      <x:c r="AJ73" s="94" t="str">
        <x:f>IF(AI73="","",VLOOKUP(AI73,'11. Lists'!$F$47:$G$51,2,FALSE))</x:f>
        <x:v/>
      </x:c>
      <x:c r="AK73" s="372"/>
      <x:c r="AL73" s="343"/>
      <x:c r="AM73" s="507"/>
      <x:c r="AN73" s="93" t="str">
        <x:f t="shared" si="20"/>
        <x:v/>
      </x:c>
      <x:c r="AO73" s="95" t="str">
        <x:f>IF(AN73="","",VLOOKUP(AN73,'11. Lists'!$F$36:$H$38,2,FALSE))</x:f>
        <x:v/>
      </x:c>
      <x:c r="AP73" s="94" t="str">
        <x:f>IF(AN73="","",VLOOKUP(AN73,'11. Lists'!$F$36:$H$38,3,FALSE))</x:f>
        <x:v/>
      </x:c>
      <x:c r="AQ73" s="114" t="str">
        <x:f>IF(D73="","",IF(AX73="Distinctiveness","N/A",VLOOKUP(F73,'10. Condition and Temporal'!$B$6:$L$103,11,FALSE)))</x:f>
        <x:v/>
      </x:c>
      <x:c r="AR73" s="118" t="str">
        <x:f>IF(AQ73="","",IF(AQ73="N/A","1",VLOOKUP(AQ73,'11. Lists'!$I$47:$K$80,3,FALSE)))</x:f>
        <x:v/>
      </x:c>
      <x:c r="AS73" s="524" t="str">
        <x:f>IF(D73="","",IF(AX73="Condition","N/A",VLOOKUP(F73,'10. Condition and Temporal'!$B$6:$M$106,12,FALSE)))</x:f>
        <x:v/>
      </x:c>
      <x:c r="AT73" s="118" t="str">
        <x:f>IF(AS73="","",IF(AS73="N/A","1",VLOOKUP(AS73,'11. Lists'!$I$47:$K$80,3,FALSE)))</x:f>
        <x:v/>
      </x:c>
      <x:c r="AU73" s="114" t="str">
        <x:f>IF(D73="","",VLOOKUP(F73,'9. All Habitats + Multipliers'!$C$4:$K$102,8,FALSE))</x:f>
        <x:v/>
      </x:c>
      <x:c r="AV73" s="115" t="str">
        <x:f>IF(AU73="","",VLOOKUP(AU73,'11. Lists'!$J$35:$K$38,2,FALSE))</x:f>
        <x:v/>
      </x:c>
      <x:c r="AW73" s="177" t="str">
        <x:f>IF(D73="","",VLOOKUP(D73,'10. Condition and Temporal'!$B$6:$M$103,4,FALSE))</x:f>
        <x:v/>
      </x:c>
      <x:c r="AX73" s="177" t="str">
        <x:f t="shared" si="21"/>
        <x:v/>
      </x:c>
      <x:c r="AY73" s="463" t="str">
        <x:f t="shared" si="48"/>
        <x:v/>
      </x:c>
      <x:c r="BA73" s="93">
        <x:v>6</x:v>
      </x:c>
      <x:c r="BB73" s="95" t="str">
        <x:f t="shared" si="22"/>
        <x:v/>
      </x:c>
      <x:c r="BC73" s="95" t="str">
        <x:f t="shared" si="23"/>
        <x:v/>
      </x:c>
      <x:c r="BD73" s="95" t="str">
        <x:f t="shared" si="24"/>
        <x:v/>
      </x:c>
      <x:c r="BE73" s="95" t="str">
        <x:f t="shared" si="25"/>
        <x:v/>
      </x:c>
      <x:c r="BF73" s="95" t="str">
        <x:f t="shared" si="26"/>
        <x:v/>
      </x:c>
      <x:c r="BG73" s="95" t="str">
        <x:f t="shared" si="27"/>
        <x:v/>
      </x:c>
      <x:c r="BH73" s="95" t="str">
        <x:f t="shared" si="28"/>
        <x:v/>
      </x:c>
      <x:c r="BI73" s="95" t="str">
        <x:f t="shared" si="29"/>
        <x:v/>
      </x:c>
      <x:c r="BJ73" s="95" t="str">
        <x:f t="shared" si="30"/>
        <x:v/>
      </x:c>
      <x:c r="BK73" s="95" t="str">
        <x:f t="shared" si="31"/>
        <x:v/>
      </x:c>
      <x:c r="BL73" s="95" t="str">
        <x:f t="shared" si="32"/>
        <x:v/>
      </x:c>
      <x:c r="BM73" s="95" t="str">
        <x:f t="shared" si="33"/>
        <x:v/>
      </x:c>
      <x:c r="BN73" s="95" t="str">
        <x:f t="shared" si="34"/>
        <x:v/>
      </x:c>
      <x:c r="BO73" s="95" t="str">
        <x:f t="shared" si="35"/>
        <x:v/>
      </x:c>
      <x:c r="BP73" s="95" t="str">
        <x:f t="shared" si="36"/>
        <x:v/>
      </x:c>
      <x:c r="BQ73" s="95" t="str">
        <x:f t="shared" si="37"/>
        <x:v/>
      </x:c>
      <x:c r="BR73" s="95" t="str">
        <x:f t="shared" si="38"/>
        <x:v/>
      </x:c>
      <x:c r="BS73" s="95" t="str">
        <x:f t="shared" si="39"/>
        <x:v/>
      </x:c>
      <x:c r="BT73" s="95" t="str">
        <x:f t="shared" si="40"/>
        <x:v/>
      </x:c>
      <x:c r="BU73" s="94" t="str">
        <x:f t="shared" si="41"/>
        <x:v/>
      </x:c>
      <x:c r="BV73" s="184" t="str">
        <x:f t="shared" si="49"/>
        <x:v/>
      </x:c>
      <x:c r="BW73" s="95" t="s">
        <x:v>162</x:v>
      </x:c>
      <x:c r="BX73" s="95">
        <x:f>BG66</x:f>
        <x:v>0</x:v>
      </x:c>
    </x:row>
    <x:row r="74" spans="1:76" s="25" customFormat="1" ht="15.6" x14ac:dyDescent="0.3">
      <x:c r="A74" s="89"/>
      <x:c r="B74" s="264">
        <x:v>7</x:v>
      </x:c>
      <x:c r="C74" s="119" t="str">
        <x:f t="shared" si="11"/>
        <x:v/>
      </x:c>
      <x:c r="D74" s="208" t="str">
        <x:f t="shared" si="42"/>
        <x:v/>
      </x:c>
      <x:c r="E74" s="166" t="str">
        <x:f t="shared" si="12"/>
        <x:v/>
      </x:c>
      <x:c r="F74" s="670"/>
      <x:c r="G74" s="671"/>
      <x:c r="H74" s="163" t="str">
        <x:f t="shared" si="13"/>
        <x:v/>
      </x:c>
      <x:c r="I74" s="321" t="str">
        <x:f t="shared" si="43"/>
        <x:v/>
      </x:c>
      <x:c r="J74" s="676" t="str">
        <x:f>IFERROR(IF(F74="","",VLOOKUP(F74,'10. Condition and Temporal'!$B$6:$F$103,5,FALSE)), "Error ▲")</x:f>
        <x:v/>
      </x:c>
      <x:c r="K74" s="677"/>
      <x:c r="L74" s="283" t="str">
        <x:f t="shared" si="44"/>
        <x:v/>
      </x:c>
      <x:c r="M74" s="686" t="str">
        <x:f t="shared" si="45"/>
        <x:v/>
      </x:c>
      <x:c r="N74" s="687"/>
      <x:c r="O74" s="74"/>
      <x:c r="P74" s="12"/>
      <x:c r="R74" s="652"/>
      <x:c r="T74" s="177" t="str">
        <x:f t="shared" si="14"/>
        <x:v/>
      </x:c>
      <x:c r="U74" s="114" t="str">
        <x:f t="shared" si="46"/>
        <x:v/>
      </x:c>
      <x:c r="V74" s="94" t="str">
        <x:f t="shared" si="15"/>
        <x:v/>
      </x:c>
      <x:c r="W74" s="93" t="str">
        <x:f t="shared" si="15"/>
        <x:v/>
      </x:c>
      <x:c r="X74" s="94" t="str">
        <x:f t="shared" si="15"/>
        <x:v/>
      </x:c>
      <x:c r="Y74" s="372"/>
      <x:c r="Z74" s="343"/>
      <x:c r="AA74" s="507"/>
      <x:c r="AB74" s="93" t="str">
        <x:f t="shared" si="16"/>
        <x:v/>
      </x:c>
      <x:c r="AC74" s="115" t="str">
        <x:f t="shared" si="17"/>
        <x:v/>
      </x:c>
      <x:c r="AD74" s="177" t="str">
        <x:f t="shared" si="50"/>
        <x:v/>
      </x:c>
      <x:c r="AE74" s="177" t="str">
        <x:f t="shared" si="47"/>
        <x:v/>
      </x:c>
      <x:c r="AF74" s="511" t="str">
        <x:f t="shared" si="18"/>
        <x:v/>
      </x:c>
      <x:c r="AG74" s="114" t="str">
        <x:f>IF(D74="","",VLOOKUP(F74,'9. All Habitats + Multipliers'!$C$4:$K$102,5,FALSE))</x:f>
        <x:v/>
      </x:c>
      <x:c r="AH74" s="344" t="str">
        <x:f>IF(AG74="","",VLOOKUP(AG74,'11. Lists'!$B$47:$D$49,2,FALSE))</x:f>
        <x:v/>
      </x:c>
      <x:c r="AI74" s="93" t="str">
        <x:f t="shared" si="19"/>
        <x:v/>
      </x:c>
      <x:c r="AJ74" s="94" t="str">
        <x:f>IF(AI74="","",VLOOKUP(AI74,'11. Lists'!$F$47:$G$51,2,FALSE))</x:f>
        <x:v/>
      </x:c>
      <x:c r="AK74" s="372"/>
      <x:c r="AL74" s="343"/>
      <x:c r="AM74" s="507"/>
      <x:c r="AN74" s="93" t="str">
        <x:f t="shared" si="20"/>
        <x:v/>
      </x:c>
      <x:c r="AO74" s="95" t="str">
        <x:f>IF(AN74="","",VLOOKUP(AN74,'11. Lists'!$F$36:$H$38,2,FALSE))</x:f>
        <x:v/>
      </x:c>
      <x:c r="AP74" s="94" t="str">
        <x:f>IF(AN74="","",VLOOKUP(AN74,'11. Lists'!$F$36:$H$38,3,FALSE))</x:f>
        <x:v/>
      </x:c>
      <x:c r="AQ74" s="114" t="str">
        <x:f>IF(D74="","",IF(AX74="Distinctiveness","N/A",VLOOKUP(F74,'10. Condition and Temporal'!$B$6:$L$103,11,FALSE)))</x:f>
        <x:v/>
      </x:c>
      <x:c r="AR74" s="118" t="str">
        <x:f>IF(AQ74="","",IF(AQ74="N/A","1",VLOOKUP(AQ74,'11. Lists'!$I$47:$K$80,3,FALSE)))</x:f>
        <x:v/>
      </x:c>
      <x:c r="AS74" s="524" t="str">
        <x:f>IF(D74="","",IF(AX74="Condition","N/A",VLOOKUP(F74,'10. Condition and Temporal'!$B$6:$M$106,12,FALSE)))</x:f>
        <x:v/>
      </x:c>
      <x:c r="AT74" s="118" t="str">
        <x:f>IF(AS74="","",IF(AS74="N/A","1",VLOOKUP(AS74,'11. Lists'!$I$47:$K$80,3,FALSE)))</x:f>
        <x:v/>
      </x:c>
      <x:c r="AU74" s="114" t="str">
        <x:f>IF(D74="","",VLOOKUP(F74,'9. All Habitats + Multipliers'!$C$4:$K$102,8,FALSE))</x:f>
        <x:v/>
      </x:c>
      <x:c r="AV74" s="115" t="str">
        <x:f>IF(AU74="","",VLOOKUP(AU74,'11. Lists'!$J$35:$K$38,2,FALSE))</x:f>
        <x:v/>
      </x:c>
      <x:c r="AW74" s="177" t="str">
        <x:f>IF(D74="","",VLOOKUP(D74,'10. Condition and Temporal'!$B$6:$M$103,4,FALSE))</x:f>
        <x:v/>
      </x:c>
      <x:c r="AX74" s="177" t="str">
        <x:f t="shared" si="21"/>
        <x:v/>
      </x:c>
      <x:c r="AY74" s="463" t="str">
        <x:f t="shared" si="48"/>
        <x:v/>
      </x:c>
      <x:c r="BA74" s="93">
        <x:v>7</x:v>
      </x:c>
      <x:c r="BB74" s="95" t="str">
        <x:f t="shared" si="22"/>
        <x:v/>
      </x:c>
      <x:c r="BC74" s="95" t="str">
        <x:f t="shared" si="23"/>
        <x:v/>
      </x:c>
      <x:c r="BD74" s="95" t="str">
        <x:f t="shared" si="24"/>
        <x:v/>
      </x:c>
      <x:c r="BE74" s="95" t="str">
        <x:f t="shared" si="25"/>
        <x:v/>
      </x:c>
      <x:c r="BF74" s="95" t="str">
        <x:f t="shared" si="26"/>
        <x:v/>
      </x:c>
      <x:c r="BG74" s="95" t="str">
        <x:f t="shared" si="27"/>
        <x:v/>
      </x:c>
      <x:c r="BH74" s="95" t="str">
        <x:f t="shared" si="28"/>
        <x:v/>
      </x:c>
      <x:c r="BI74" s="95" t="str">
        <x:f t="shared" si="29"/>
        <x:v/>
      </x:c>
      <x:c r="BJ74" s="95" t="str">
        <x:f t="shared" si="30"/>
        <x:v/>
      </x:c>
      <x:c r="BK74" s="95" t="str">
        <x:f t="shared" si="31"/>
        <x:v/>
      </x:c>
      <x:c r="BL74" s="95" t="str">
        <x:f t="shared" si="32"/>
        <x:v/>
      </x:c>
      <x:c r="BM74" s="95" t="str">
        <x:f t="shared" si="33"/>
        <x:v/>
      </x:c>
      <x:c r="BN74" s="95" t="str">
        <x:f t="shared" si="34"/>
        <x:v/>
      </x:c>
      <x:c r="BO74" s="95" t="str">
        <x:f t="shared" si="35"/>
        <x:v/>
      </x:c>
      <x:c r="BP74" s="95" t="str">
        <x:f t="shared" si="36"/>
        <x:v/>
      </x:c>
      <x:c r="BQ74" s="95" t="str">
        <x:f t="shared" si="37"/>
        <x:v/>
      </x:c>
      <x:c r="BR74" s="95" t="str">
        <x:f t="shared" si="38"/>
        <x:v/>
      </x:c>
      <x:c r="BS74" s="95" t="str">
        <x:f t="shared" si="39"/>
        <x:v/>
      </x:c>
      <x:c r="BT74" s="95" t="str">
        <x:f t="shared" si="40"/>
        <x:v/>
      </x:c>
      <x:c r="BU74" s="94" t="str">
        <x:f t="shared" si="41"/>
        <x:v/>
      </x:c>
      <x:c r="BV74" s="184" t="str">
        <x:f t="shared" si="49"/>
        <x:v/>
      </x:c>
      <x:c r="BW74" s="95" t="s">
        <x:v>163</x:v>
      </x:c>
      <x:c r="BX74" s="95">
        <x:f>BH66</x:f>
        <x:v>0</x:v>
      </x:c>
    </x:row>
    <x:row r="75" spans="1:76" s="25" customFormat="1" ht="15.6" x14ac:dyDescent="0.3">
      <x:c r="A75" s="89"/>
      <x:c r="B75" s="264">
        <x:v>8</x:v>
      </x:c>
      <x:c r="C75" s="119" t="str">
        <x:f t="shared" si="11"/>
        <x:v/>
      </x:c>
      <x:c r="D75" s="208" t="str">
        <x:f t="shared" si="42"/>
        <x:v/>
      </x:c>
      <x:c r="E75" s="166" t="str">
        <x:f t="shared" si="12"/>
        <x:v/>
      </x:c>
      <x:c r="F75" s="670"/>
      <x:c r="G75" s="671"/>
      <x:c r="H75" s="163" t="str">
        <x:f t="shared" si="13"/>
        <x:v/>
      </x:c>
      <x:c r="I75" s="321" t="str">
        <x:f t="shared" si="43"/>
        <x:v/>
      </x:c>
      <x:c r="J75" s="676" t="str">
        <x:f>IFERROR(IF(F75="","",VLOOKUP(F75,'10. Condition and Temporal'!$B$6:$F$103,5,FALSE)), "Error ▲")</x:f>
        <x:v/>
      </x:c>
      <x:c r="K75" s="677"/>
      <x:c r="L75" s="283" t="str">
        <x:f t="shared" si="44"/>
        <x:v/>
      </x:c>
      <x:c r="M75" s="686" t="str">
        <x:f t="shared" si="45"/>
        <x:v/>
      </x:c>
      <x:c r="N75" s="687"/>
      <x:c r="O75" s="74"/>
      <x:c r="P75" s="12"/>
      <x:c r="R75" s="652"/>
      <x:c r="T75" s="177" t="str">
        <x:f t="shared" si="14"/>
        <x:v/>
      </x:c>
      <x:c r="U75" s="114" t="str">
        <x:f t="shared" si="46"/>
        <x:v/>
      </x:c>
      <x:c r="V75" s="94" t="str">
        <x:f t="shared" si="15"/>
        <x:v/>
      </x:c>
      <x:c r="W75" s="93" t="str">
        <x:f t="shared" si="15"/>
        <x:v/>
      </x:c>
      <x:c r="X75" s="94" t="str">
        <x:f t="shared" si="15"/>
        <x:v/>
      </x:c>
      <x:c r="Y75" s="372"/>
      <x:c r="Z75" s="343"/>
      <x:c r="AA75" s="507"/>
      <x:c r="AB75" s="93" t="str">
        <x:f t="shared" si="16"/>
        <x:v/>
      </x:c>
      <x:c r="AC75" s="115" t="str">
        <x:f t="shared" si="17"/>
        <x:v/>
      </x:c>
      <x:c r="AD75" s="177" t="str">
        <x:f t="shared" si="50"/>
        <x:v/>
      </x:c>
      <x:c r="AE75" s="177" t="str">
        <x:f t="shared" si="47"/>
        <x:v/>
      </x:c>
      <x:c r="AF75" s="511" t="str">
        <x:f t="shared" si="18"/>
        <x:v/>
      </x:c>
      <x:c r="AG75" s="114" t="str">
        <x:f>IF(D75="","",VLOOKUP(F75,'9. All Habitats + Multipliers'!$C$4:$K$102,5,FALSE))</x:f>
        <x:v/>
      </x:c>
      <x:c r="AH75" s="344" t="str">
        <x:f>IF(AG75="","",VLOOKUP(AG75,'11. Lists'!$B$47:$D$49,2,FALSE))</x:f>
        <x:v/>
      </x:c>
      <x:c r="AI75" s="93" t="str">
        <x:f t="shared" si="19"/>
        <x:v/>
      </x:c>
      <x:c r="AJ75" s="94" t="str">
        <x:f>IF(AI75="","",VLOOKUP(AI75,'11. Lists'!$F$47:$G$51,2,FALSE))</x:f>
        <x:v/>
      </x:c>
      <x:c r="AK75" s="372"/>
      <x:c r="AL75" s="343"/>
      <x:c r="AM75" s="507"/>
      <x:c r="AN75" s="93" t="str">
        <x:f t="shared" si="20"/>
        <x:v/>
      </x:c>
      <x:c r="AO75" s="95" t="str">
        <x:f>IF(AN75="","",VLOOKUP(AN75,'11. Lists'!$F$36:$H$38,2,FALSE))</x:f>
        <x:v/>
      </x:c>
      <x:c r="AP75" s="94" t="str">
        <x:f>IF(AN75="","",VLOOKUP(AN75,'11. Lists'!$F$36:$H$38,3,FALSE))</x:f>
        <x:v/>
      </x:c>
      <x:c r="AQ75" s="114" t="str">
        <x:f>IF(D75="","",IF(AX75="Distinctiveness","N/A",VLOOKUP(F75,'10. Condition and Temporal'!$B$6:$L$103,11,FALSE)))</x:f>
        <x:v/>
      </x:c>
      <x:c r="AR75" s="118" t="str">
        <x:f>IF(AQ75="","",IF(AQ75="N/A","1",VLOOKUP(AQ75,'11. Lists'!$I$47:$K$80,3,FALSE)))</x:f>
        <x:v/>
      </x:c>
      <x:c r="AS75" s="524" t="str">
        <x:f>IF(D75="","",IF(AX75="Condition","N/A",VLOOKUP(F75,'10. Condition and Temporal'!$B$6:$M$106,12,FALSE)))</x:f>
        <x:v/>
      </x:c>
      <x:c r="AT75" s="118" t="str">
        <x:f>IF(AS75="","",IF(AS75="N/A","1",VLOOKUP(AS75,'11. Lists'!$I$47:$K$80,3,FALSE)))</x:f>
        <x:v/>
      </x:c>
      <x:c r="AU75" s="114" t="str">
        <x:f>IF(D75="","",VLOOKUP(F75,'9. All Habitats + Multipliers'!$C$4:$K$102,8,FALSE))</x:f>
        <x:v/>
      </x:c>
      <x:c r="AV75" s="115" t="str">
        <x:f>IF(AU75="","",VLOOKUP(AU75,'11. Lists'!$J$35:$K$38,2,FALSE))</x:f>
        <x:v/>
      </x:c>
      <x:c r="AW75" s="177" t="str">
        <x:f>IF(D75="","",VLOOKUP(D75,'10. Condition and Temporal'!$B$6:$M$103,4,FALSE))</x:f>
        <x:v/>
      </x:c>
      <x:c r="AX75" s="177" t="str">
        <x:f t="shared" si="21"/>
        <x:v/>
      </x:c>
      <x:c r="AY75" s="463" t="str">
        <x:f t="shared" si="48"/>
        <x:v/>
      </x:c>
      <x:c r="BA75" s="93">
        <x:v>8</x:v>
      </x:c>
      <x:c r="BB75" s="95" t="str">
        <x:f t="shared" si="22"/>
        <x:v/>
      </x:c>
      <x:c r="BC75" s="95" t="str">
        <x:f t="shared" si="23"/>
        <x:v/>
      </x:c>
      <x:c r="BD75" s="95" t="str">
        <x:f t="shared" si="24"/>
        <x:v/>
      </x:c>
      <x:c r="BE75" s="95" t="str">
        <x:f t="shared" si="25"/>
        <x:v/>
      </x:c>
      <x:c r="BF75" s="95" t="str">
        <x:f t="shared" si="26"/>
        <x:v/>
      </x:c>
      <x:c r="BG75" s="95" t="str">
        <x:f t="shared" si="27"/>
        <x:v/>
      </x:c>
      <x:c r="BH75" s="95" t="str">
        <x:f t="shared" si="28"/>
        <x:v/>
      </x:c>
      <x:c r="BI75" s="95" t="str">
        <x:f t="shared" si="29"/>
        <x:v/>
      </x:c>
      <x:c r="BJ75" s="95" t="str">
        <x:f t="shared" si="30"/>
        <x:v/>
      </x:c>
      <x:c r="BK75" s="95" t="str">
        <x:f t="shared" si="31"/>
        <x:v/>
      </x:c>
      <x:c r="BL75" s="95" t="str">
        <x:f t="shared" si="32"/>
        <x:v/>
      </x:c>
      <x:c r="BM75" s="95" t="str">
        <x:f t="shared" si="33"/>
        <x:v/>
      </x:c>
      <x:c r="BN75" s="95" t="str">
        <x:f t="shared" si="34"/>
        <x:v/>
      </x:c>
      <x:c r="BO75" s="95" t="str">
        <x:f t="shared" si="35"/>
        <x:v/>
      </x:c>
      <x:c r="BP75" s="95" t="str">
        <x:f t="shared" si="36"/>
        <x:v/>
      </x:c>
      <x:c r="BQ75" s="95" t="str">
        <x:f t="shared" si="37"/>
        <x:v/>
      </x:c>
      <x:c r="BR75" s="95" t="str">
        <x:f t="shared" si="38"/>
        <x:v/>
      </x:c>
      <x:c r="BS75" s="95" t="str">
        <x:f t="shared" si="39"/>
        <x:v/>
      </x:c>
      <x:c r="BT75" s="95" t="str">
        <x:f t="shared" si="40"/>
        <x:v/>
      </x:c>
      <x:c r="BU75" s="94" t="str">
        <x:f t="shared" si="41"/>
        <x:v/>
      </x:c>
      <x:c r="BV75" s="184" t="str">
        <x:f t="shared" si="49"/>
        <x:v/>
      </x:c>
      <x:c r="BW75" s="95" t="s">
        <x:v>164</x:v>
      </x:c>
      <x:c r="BX75" s="95">
        <x:f>BI66</x:f>
        <x:v>0</x:v>
      </x:c>
    </x:row>
    <x:row r="76" spans="1:76" s="25" customFormat="1" ht="15.6" x14ac:dyDescent="0.3">
      <x:c r="A76" s="89"/>
      <x:c r="B76" s="264">
        <x:v>9</x:v>
      </x:c>
      <x:c r="C76" s="119" t="str">
        <x:f t="shared" si="11"/>
        <x:v/>
      </x:c>
      <x:c r="D76" s="208" t="str">
        <x:f t="shared" si="42"/>
        <x:v/>
      </x:c>
      <x:c r="E76" s="166" t="str">
        <x:f t="shared" si="12"/>
        <x:v/>
      </x:c>
      <x:c r="F76" s="670"/>
      <x:c r="G76" s="671"/>
      <x:c r="H76" s="163" t="str">
        <x:f t="shared" si="13"/>
        <x:v/>
      </x:c>
      <x:c r="I76" s="321" t="str">
        <x:f t="shared" si="43"/>
        <x:v/>
      </x:c>
      <x:c r="J76" s="676" t="str">
        <x:f>IFERROR(IF(F76="","",VLOOKUP(F76,'10. Condition and Temporal'!$B$6:$F$103,5,FALSE)), "Error ▲")</x:f>
        <x:v/>
      </x:c>
      <x:c r="K76" s="677"/>
      <x:c r="L76" s="283" t="str">
        <x:f t="shared" si="44"/>
        <x:v/>
      </x:c>
      <x:c r="M76" s="686" t="str">
        <x:f t="shared" si="45"/>
        <x:v/>
      </x:c>
      <x:c r="N76" s="687"/>
      <x:c r="O76" s="74"/>
      <x:c r="P76" s="12"/>
      <x:c r="R76" s="652"/>
      <x:c r="T76" s="177" t="str">
        <x:f t="shared" si="14"/>
        <x:v/>
      </x:c>
      <x:c r="U76" s="114" t="str">
        <x:f t="shared" si="46"/>
        <x:v/>
      </x:c>
      <x:c r="V76" s="94" t="str">
        <x:f t="shared" si="15"/>
        <x:v/>
      </x:c>
      <x:c r="W76" s="93" t="str">
        <x:f t="shared" si="15"/>
        <x:v/>
      </x:c>
      <x:c r="X76" s="94" t="str">
        <x:f t="shared" si="15"/>
        <x:v/>
      </x:c>
      <x:c r="Y76" s="372"/>
      <x:c r="Z76" s="343"/>
      <x:c r="AA76" s="507"/>
      <x:c r="AB76" s="93" t="str">
        <x:f t="shared" si="16"/>
        <x:v/>
      </x:c>
      <x:c r="AC76" s="115" t="str">
        <x:f t="shared" si="17"/>
        <x:v/>
      </x:c>
      <x:c r="AD76" s="177" t="str">
        <x:f t="shared" si="50"/>
        <x:v/>
      </x:c>
      <x:c r="AE76" s="177" t="str">
        <x:f t="shared" si="47"/>
        <x:v/>
      </x:c>
      <x:c r="AF76" s="511" t="str">
        <x:f t="shared" si="18"/>
        <x:v/>
      </x:c>
      <x:c r="AG76" s="114" t="str">
        <x:f>IF(D76="","",VLOOKUP(F76,'9. All Habitats + Multipliers'!$C$4:$K$102,5,FALSE))</x:f>
        <x:v/>
      </x:c>
      <x:c r="AH76" s="344" t="str">
        <x:f>IF(AG76="","",VLOOKUP(AG76,'11. Lists'!$B$47:$D$49,2,FALSE))</x:f>
        <x:v/>
      </x:c>
      <x:c r="AI76" s="93" t="str">
        <x:f t="shared" si="19"/>
        <x:v/>
      </x:c>
      <x:c r="AJ76" s="94" t="str">
        <x:f>IF(AI76="","",VLOOKUP(AI76,'11. Lists'!$F$47:$G$51,2,FALSE))</x:f>
        <x:v/>
      </x:c>
      <x:c r="AK76" s="372"/>
      <x:c r="AL76" s="343"/>
      <x:c r="AM76" s="507"/>
      <x:c r="AN76" s="93" t="str">
        <x:f t="shared" si="20"/>
        <x:v/>
      </x:c>
      <x:c r="AO76" s="95" t="str">
        <x:f>IF(AN76="","",VLOOKUP(AN76,'11. Lists'!$F$36:$H$38,2,FALSE))</x:f>
        <x:v/>
      </x:c>
      <x:c r="AP76" s="94" t="str">
        <x:f>IF(AN76="","",VLOOKUP(AN76,'11. Lists'!$F$36:$H$38,3,FALSE))</x:f>
        <x:v/>
      </x:c>
      <x:c r="AQ76" s="114" t="str">
        <x:f>IF(D76="","",IF(AX76="Distinctiveness","N/A",VLOOKUP(F76,'10. Condition and Temporal'!$B$6:$L$103,11,FALSE)))</x:f>
        <x:v/>
      </x:c>
      <x:c r="AR76" s="118" t="str">
        <x:f>IF(AQ76="","",IF(AQ76="N/A","1",VLOOKUP(AQ76,'11. Lists'!$I$47:$K$80,3,FALSE)))</x:f>
        <x:v/>
      </x:c>
      <x:c r="AS76" s="524" t="str">
        <x:f>IF(D76="","",IF(AX76="Condition","N/A",VLOOKUP(F76,'10. Condition and Temporal'!$B$6:$M$106,12,FALSE)))</x:f>
        <x:v/>
      </x:c>
      <x:c r="AT76" s="118" t="str">
        <x:f>IF(AS76="","",IF(AS76="N/A","1",VLOOKUP(AS76,'11. Lists'!$I$47:$K$80,3,FALSE)))</x:f>
        <x:v/>
      </x:c>
      <x:c r="AU76" s="114" t="str">
        <x:f>IF(D76="","",VLOOKUP(F76,'9. All Habitats + Multipliers'!$C$4:$K$102,8,FALSE))</x:f>
        <x:v/>
      </x:c>
      <x:c r="AV76" s="115" t="str">
        <x:f>IF(AU76="","",VLOOKUP(AU76,'11. Lists'!$J$35:$K$38,2,FALSE))</x:f>
        <x:v/>
      </x:c>
      <x:c r="AW76" s="177" t="str">
        <x:f>IF(D76="","",VLOOKUP(D76,'10. Condition and Temporal'!$B$6:$M$103,4,FALSE))</x:f>
        <x:v/>
      </x:c>
      <x:c r="AX76" s="177" t="str">
        <x:f t="shared" si="21"/>
        <x:v/>
      </x:c>
      <x:c r="AY76" s="463" t="str">
        <x:f t="shared" si="48"/>
        <x:v/>
      </x:c>
      <x:c r="BA76" s="93">
        <x:v>9</x:v>
      </x:c>
      <x:c r="BB76" s="95" t="str">
        <x:f t="shared" si="22"/>
        <x:v/>
      </x:c>
      <x:c r="BC76" s="95" t="str">
        <x:f t="shared" si="23"/>
        <x:v/>
      </x:c>
      <x:c r="BD76" s="95" t="str">
        <x:f t="shared" si="24"/>
        <x:v/>
      </x:c>
      <x:c r="BE76" s="95" t="str">
        <x:f t="shared" si="25"/>
        <x:v/>
      </x:c>
      <x:c r="BF76" s="95" t="str">
        <x:f t="shared" si="26"/>
        <x:v/>
      </x:c>
      <x:c r="BG76" s="95" t="str">
        <x:f t="shared" si="27"/>
        <x:v/>
      </x:c>
      <x:c r="BH76" s="95" t="str">
        <x:f t="shared" si="28"/>
        <x:v/>
      </x:c>
      <x:c r="BI76" s="95" t="str">
        <x:f t="shared" si="29"/>
        <x:v/>
      </x:c>
      <x:c r="BJ76" s="95" t="str">
        <x:f t="shared" si="30"/>
        <x:v/>
      </x:c>
      <x:c r="BK76" s="95" t="str">
        <x:f t="shared" si="31"/>
        <x:v/>
      </x:c>
      <x:c r="BL76" s="95" t="str">
        <x:f t="shared" si="32"/>
        <x:v/>
      </x:c>
      <x:c r="BM76" s="95" t="str">
        <x:f t="shared" si="33"/>
        <x:v/>
      </x:c>
      <x:c r="BN76" s="95" t="str">
        <x:f t="shared" si="34"/>
        <x:v/>
      </x:c>
      <x:c r="BO76" s="95" t="str">
        <x:f t="shared" si="35"/>
        <x:v/>
      </x:c>
      <x:c r="BP76" s="95" t="str">
        <x:f t="shared" si="36"/>
        <x:v/>
      </x:c>
      <x:c r="BQ76" s="95" t="str">
        <x:f t="shared" si="37"/>
        <x:v/>
      </x:c>
      <x:c r="BR76" s="95" t="str">
        <x:f t="shared" si="38"/>
        <x:v/>
      </x:c>
      <x:c r="BS76" s="95" t="str">
        <x:f t="shared" si="39"/>
        <x:v/>
      </x:c>
      <x:c r="BT76" s="95" t="str">
        <x:f t="shared" si="40"/>
        <x:v/>
      </x:c>
      <x:c r="BU76" s="94" t="str">
        <x:f t="shared" si="41"/>
        <x:v/>
      </x:c>
      <x:c r="BV76" s="184" t="str">
        <x:f t="shared" si="49"/>
        <x:v/>
      </x:c>
      <x:c r="BW76" s="95" t="s">
        <x:v>165</x:v>
      </x:c>
      <x:c r="BX76" s="95">
        <x:f>BJ66</x:f>
        <x:v>0</x:v>
      </x:c>
    </x:row>
    <x:row r="77" spans="1:76" s="25" customFormat="1" ht="15.6" x14ac:dyDescent="0.3">
      <x:c r="A77" s="89"/>
      <x:c r="B77" s="264">
        <x:v>10</x:v>
      </x:c>
      <x:c r="C77" s="119" t="str">
        <x:f t="shared" si="11"/>
        <x:v/>
      </x:c>
      <x:c r="D77" s="208" t="str">
        <x:f t="shared" si="42"/>
        <x:v/>
      </x:c>
      <x:c r="E77" s="166" t="str">
        <x:f t="shared" si="12"/>
        <x:v/>
      </x:c>
      <x:c r="F77" s="670"/>
      <x:c r="G77" s="671"/>
      <x:c r="H77" s="163" t="str">
        <x:f t="shared" si="13"/>
        <x:v/>
      </x:c>
      <x:c r="I77" s="321" t="str">
        <x:f t="shared" si="43"/>
        <x:v/>
      </x:c>
      <x:c r="J77" s="676" t="str">
        <x:f>IFERROR(IF(F77="","",VLOOKUP(F77,'10. Condition and Temporal'!$B$6:$F$103,5,FALSE)), "Error ▲")</x:f>
        <x:v/>
      </x:c>
      <x:c r="K77" s="677"/>
      <x:c r="L77" s="283" t="str">
        <x:f t="shared" si="44"/>
        <x:v/>
      </x:c>
      <x:c r="M77" s="686" t="str">
        <x:f t="shared" si="45"/>
        <x:v/>
      </x:c>
      <x:c r="N77" s="687"/>
      <x:c r="O77" s="74"/>
      <x:c r="P77" s="12"/>
      <x:c r="R77" s="652"/>
      <x:c r="T77" s="177" t="str">
        <x:f t="shared" si="14"/>
        <x:v/>
      </x:c>
      <x:c r="U77" s="114" t="str">
        <x:f t="shared" si="46"/>
        <x:v/>
      </x:c>
      <x:c r="V77" s="94" t="str">
        <x:f t="shared" si="15"/>
        <x:v/>
      </x:c>
      <x:c r="W77" s="93" t="str">
        <x:f t="shared" si="15"/>
        <x:v/>
      </x:c>
      <x:c r="X77" s="94" t="str">
        <x:f t="shared" si="15"/>
        <x:v/>
      </x:c>
      <x:c r="Y77" s="372"/>
      <x:c r="Z77" s="343"/>
      <x:c r="AA77" s="507"/>
      <x:c r="AB77" s="93" t="str">
        <x:f t="shared" si="16"/>
        <x:v/>
      </x:c>
      <x:c r="AC77" s="115" t="str">
        <x:f t="shared" si="17"/>
        <x:v/>
      </x:c>
      <x:c r="AD77" s="177" t="str">
        <x:f t="shared" si="50"/>
        <x:v/>
      </x:c>
      <x:c r="AE77" s="177" t="str">
        <x:f t="shared" si="47"/>
        <x:v/>
      </x:c>
      <x:c r="AF77" s="511" t="str">
        <x:f t="shared" si="18"/>
        <x:v/>
      </x:c>
      <x:c r="AG77" s="114" t="str">
        <x:f>IF(D77="","",VLOOKUP(F77,'9. All Habitats + Multipliers'!$C$4:$K$102,5,FALSE))</x:f>
        <x:v/>
      </x:c>
      <x:c r="AH77" s="344" t="str">
        <x:f>IF(AG77="","",VLOOKUP(AG77,'11. Lists'!$B$47:$D$49,2,FALSE))</x:f>
        <x:v/>
      </x:c>
      <x:c r="AI77" s="93" t="str">
        <x:f t="shared" si="19"/>
        <x:v/>
      </x:c>
      <x:c r="AJ77" s="94" t="str">
        <x:f>IF(AI77="","",VLOOKUP(AI77,'11. Lists'!$F$47:$G$51,2,FALSE))</x:f>
        <x:v/>
      </x:c>
      <x:c r="AK77" s="372"/>
      <x:c r="AL77" s="343"/>
      <x:c r="AM77" s="507"/>
      <x:c r="AN77" s="93" t="str">
        <x:f t="shared" si="20"/>
        <x:v/>
      </x:c>
      <x:c r="AO77" s="95" t="str">
        <x:f>IF(AN77="","",VLOOKUP(AN77,'11. Lists'!$F$36:$H$38,2,FALSE))</x:f>
        <x:v/>
      </x:c>
      <x:c r="AP77" s="94" t="str">
        <x:f>IF(AN77="","",VLOOKUP(AN77,'11. Lists'!$F$36:$H$38,3,FALSE))</x:f>
        <x:v/>
      </x:c>
      <x:c r="AQ77" s="114" t="str">
        <x:f>IF(D77="","",IF(AX77="Distinctiveness","N/A",VLOOKUP(F77,'10. Condition and Temporal'!$B$6:$L$103,11,FALSE)))</x:f>
        <x:v/>
      </x:c>
      <x:c r="AR77" s="118" t="str">
        <x:f>IF(AQ77="","",IF(AQ77="N/A","1",VLOOKUP(AQ77,'11. Lists'!$I$47:$K$80,3,FALSE)))</x:f>
        <x:v/>
      </x:c>
      <x:c r="AS77" s="524" t="str">
        <x:f>IF(D77="","",IF(AX77="Condition","N/A",VLOOKUP(F77,'10. Condition and Temporal'!$B$6:$M$106,12,FALSE)))</x:f>
        <x:v/>
      </x:c>
      <x:c r="AT77" s="118" t="str">
        <x:f>IF(AS77="","",IF(AS77="N/A","1",VLOOKUP(AS77,'11. Lists'!$I$47:$K$80,3,FALSE)))</x:f>
        <x:v/>
      </x:c>
      <x:c r="AU77" s="114" t="str">
        <x:f>IF(D77="","",VLOOKUP(F77,'9. All Habitats + Multipliers'!$C$4:$K$102,8,FALSE))</x:f>
        <x:v/>
      </x:c>
      <x:c r="AV77" s="115" t="str">
        <x:f>IF(AU77="","",VLOOKUP(AU77,'11. Lists'!$J$35:$K$38,2,FALSE))</x:f>
        <x:v/>
      </x:c>
      <x:c r="AW77" s="177" t="str">
        <x:f>IF(D77="","",VLOOKUP(D77,'10. Condition and Temporal'!$B$6:$M$103,4,FALSE))</x:f>
        <x:v/>
      </x:c>
      <x:c r="AX77" s="177" t="str">
        <x:f t="shared" si="21"/>
        <x:v/>
      </x:c>
      <x:c r="AY77" s="463" t="str">
        <x:f t="shared" si="48"/>
        <x:v/>
      </x:c>
      <x:c r="BA77" s="93">
        <x:v>10</x:v>
      </x:c>
      <x:c r="BB77" s="95" t="str">
        <x:f t="shared" si="22"/>
        <x:v/>
      </x:c>
      <x:c r="BC77" s="95" t="str">
        <x:f t="shared" si="23"/>
        <x:v/>
      </x:c>
      <x:c r="BD77" s="95" t="str">
        <x:f t="shared" si="24"/>
        <x:v/>
      </x:c>
      <x:c r="BE77" s="95" t="str">
        <x:f t="shared" si="25"/>
        <x:v/>
      </x:c>
      <x:c r="BF77" s="95" t="str">
        <x:f t="shared" si="26"/>
        <x:v/>
      </x:c>
      <x:c r="BG77" s="95" t="str">
        <x:f t="shared" si="27"/>
        <x:v/>
      </x:c>
      <x:c r="BH77" s="95" t="str">
        <x:f t="shared" si="28"/>
        <x:v/>
      </x:c>
      <x:c r="BI77" s="95" t="str">
        <x:f t="shared" si="29"/>
        <x:v/>
      </x:c>
      <x:c r="BJ77" s="95" t="str">
        <x:f t="shared" si="30"/>
        <x:v/>
      </x:c>
      <x:c r="BK77" s="95" t="str">
        <x:f t="shared" si="31"/>
        <x:v/>
      </x:c>
      <x:c r="BL77" s="95" t="str">
        <x:f t="shared" si="32"/>
        <x:v/>
      </x:c>
      <x:c r="BM77" s="95" t="str">
        <x:f t="shared" si="33"/>
        <x:v/>
      </x:c>
      <x:c r="BN77" s="95" t="str">
        <x:f t="shared" si="34"/>
        <x:v/>
      </x:c>
      <x:c r="BO77" s="95" t="str">
        <x:f t="shared" si="35"/>
        <x:v/>
      </x:c>
      <x:c r="BP77" s="95" t="str">
        <x:f t="shared" si="36"/>
        <x:v/>
      </x:c>
      <x:c r="BQ77" s="95" t="str">
        <x:f t="shared" si="37"/>
        <x:v/>
      </x:c>
      <x:c r="BR77" s="95" t="str">
        <x:f t="shared" si="38"/>
        <x:v/>
      </x:c>
      <x:c r="BS77" s="95" t="str">
        <x:f t="shared" si="39"/>
        <x:v/>
      </x:c>
      <x:c r="BT77" s="95" t="str">
        <x:f t="shared" si="40"/>
        <x:v/>
      </x:c>
      <x:c r="BU77" s="94" t="str">
        <x:f t="shared" si="41"/>
        <x:v/>
      </x:c>
      <x:c r="BV77" s="184" t="str">
        <x:f t="shared" si="49"/>
        <x:v/>
      </x:c>
      <x:c r="BW77" s="95" t="s">
        <x:v>166</x:v>
      </x:c>
      <x:c r="BX77" s="95">
        <x:f>BK66</x:f>
        <x:v>0</x:v>
      </x:c>
    </x:row>
    <x:row r="78" spans="1:76" s="25" customFormat="1" ht="15.6" x14ac:dyDescent="0.3">
      <x:c r="A78" s="89"/>
      <x:c r="B78" s="264">
        <x:v>11</x:v>
      </x:c>
      <x:c r="C78" s="119" t="str">
        <x:f t="shared" si="11"/>
        <x:v/>
      </x:c>
      <x:c r="D78" s="208" t="str">
        <x:f t="shared" si="42"/>
        <x:v/>
      </x:c>
      <x:c r="E78" s="166" t="str">
        <x:f t="shared" si="12"/>
        <x:v/>
      </x:c>
      <x:c r="F78" s="670"/>
      <x:c r="G78" s="671"/>
      <x:c r="H78" s="163" t="str">
        <x:f t="shared" si="13"/>
        <x:v/>
      </x:c>
      <x:c r="I78" s="321" t="str">
        <x:f t="shared" si="43"/>
        <x:v/>
      </x:c>
      <x:c r="J78" s="676" t="str">
        <x:f>IFERROR(IF(F78="","",VLOOKUP(F78,'10. Condition and Temporal'!$B$6:$F$103,5,FALSE)), "Error ▲")</x:f>
        <x:v/>
      </x:c>
      <x:c r="K78" s="677"/>
      <x:c r="L78" s="283" t="str">
        <x:f t="shared" si="44"/>
        <x:v/>
      </x:c>
      <x:c r="M78" s="686" t="str">
        <x:f t="shared" si="45"/>
        <x:v/>
      </x:c>
      <x:c r="N78" s="687"/>
      <x:c r="O78" s="74"/>
      <x:c r="P78" s="12"/>
      <x:c r="R78" s="652"/>
      <x:c r="T78" s="177" t="str">
        <x:f t="shared" si="14"/>
        <x:v/>
      </x:c>
      <x:c r="U78" s="114" t="str">
        <x:f t="shared" si="46"/>
        <x:v/>
      </x:c>
      <x:c r="V78" s="94" t="str">
        <x:f t="shared" si="15"/>
        <x:v/>
      </x:c>
      <x:c r="W78" s="93" t="str">
        <x:f t="shared" si="15"/>
        <x:v/>
      </x:c>
      <x:c r="X78" s="94" t="str">
        <x:f t="shared" si="15"/>
        <x:v/>
      </x:c>
      <x:c r="Y78" s="372"/>
      <x:c r="Z78" s="343"/>
      <x:c r="AA78" s="507"/>
      <x:c r="AB78" s="93" t="str">
        <x:f t="shared" si="16"/>
        <x:v/>
      </x:c>
      <x:c r="AC78" s="115" t="str">
        <x:f t="shared" si="17"/>
        <x:v/>
      </x:c>
      <x:c r="AD78" s="177" t="str">
        <x:f t="shared" si="50"/>
        <x:v/>
      </x:c>
      <x:c r="AE78" s="177" t="str">
        <x:f t="shared" si="47"/>
        <x:v/>
      </x:c>
      <x:c r="AF78" s="511" t="str">
        <x:f t="shared" si="18"/>
        <x:v/>
      </x:c>
      <x:c r="AG78" s="114" t="str">
        <x:f>IF(D78="","",VLOOKUP(F78,'9. All Habitats + Multipliers'!$C$4:$K$102,5,FALSE))</x:f>
        <x:v/>
      </x:c>
      <x:c r="AH78" s="344" t="str">
        <x:f>IF(AG78="","",VLOOKUP(AG78,'11. Lists'!$B$47:$D$49,2,FALSE))</x:f>
        <x:v/>
      </x:c>
      <x:c r="AI78" s="93" t="str">
        <x:f t="shared" si="19"/>
        <x:v/>
      </x:c>
      <x:c r="AJ78" s="94" t="str">
        <x:f>IF(AI78="","",VLOOKUP(AI78,'11. Lists'!$F$47:$G$51,2,FALSE))</x:f>
        <x:v/>
      </x:c>
      <x:c r="AK78" s="372"/>
      <x:c r="AL78" s="343"/>
      <x:c r="AM78" s="507"/>
      <x:c r="AN78" s="93" t="str">
        <x:f t="shared" si="20"/>
        <x:v/>
      </x:c>
      <x:c r="AO78" s="95" t="str">
        <x:f>IF(AN78="","",VLOOKUP(AN78,'11. Lists'!$F$36:$H$38,2,FALSE))</x:f>
        <x:v/>
      </x:c>
      <x:c r="AP78" s="94" t="str">
        <x:f>IF(AN78="","",VLOOKUP(AN78,'11. Lists'!$F$36:$H$38,3,FALSE))</x:f>
        <x:v/>
      </x:c>
      <x:c r="AQ78" s="114" t="str">
        <x:f>IF(D78="","",IF(AX78="Distinctiveness","N/A",VLOOKUP(F78,'10. Condition and Temporal'!$B$6:$L$103,11,FALSE)))</x:f>
        <x:v/>
      </x:c>
      <x:c r="AR78" s="118" t="str">
        <x:f>IF(AQ78="","",IF(AQ78="N/A","1",VLOOKUP(AQ78,'11. Lists'!$I$47:$K$80,3,FALSE)))</x:f>
        <x:v/>
      </x:c>
      <x:c r="AS78" s="524" t="str">
        <x:f>IF(D78="","",IF(AX78="Condition","N/A",VLOOKUP(F78,'10. Condition and Temporal'!$B$6:$M$106,12,FALSE)))</x:f>
        <x:v/>
      </x:c>
      <x:c r="AT78" s="118" t="str">
        <x:f>IF(AS78="","",IF(AS78="N/A","1",VLOOKUP(AS78,'11. Lists'!$I$47:$K$80,3,FALSE)))</x:f>
        <x:v/>
      </x:c>
      <x:c r="AU78" s="114" t="str">
        <x:f>IF(D78="","",VLOOKUP(F78,'9. All Habitats + Multipliers'!$C$4:$K$102,8,FALSE))</x:f>
        <x:v/>
      </x:c>
      <x:c r="AV78" s="115" t="str">
        <x:f>IF(AU78="","",VLOOKUP(AU78,'11. Lists'!$J$35:$K$38,2,FALSE))</x:f>
        <x:v/>
      </x:c>
      <x:c r="AW78" s="177" t="str">
        <x:f>IF(D78="","",VLOOKUP(D78,'10. Condition and Temporal'!$B$6:$M$103,4,FALSE))</x:f>
        <x:v/>
      </x:c>
      <x:c r="AX78" s="177" t="str">
        <x:f t="shared" si="21"/>
        <x:v/>
      </x:c>
      <x:c r="AY78" s="463" t="str">
        <x:f t="shared" si="48"/>
        <x:v/>
      </x:c>
      <x:c r="BA78" s="93">
        <x:v>11</x:v>
      </x:c>
      <x:c r="BB78" s="95" t="str">
        <x:f t="shared" si="22"/>
        <x:v/>
      </x:c>
      <x:c r="BC78" s="95" t="str">
        <x:f t="shared" si="23"/>
        <x:v/>
      </x:c>
      <x:c r="BD78" s="95" t="str">
        <x:f t="shared" si="24"/>
        <x:v/>
      </x:c>
      <x:c r="BE78" s="95" t="str">
        <x:f t="shared" si="25"/>
        <x:v/>
      </x:c>
      <x:c r="BF78" s="95" t="str">
        <x:f t="shared" si="26"/>
        <x:v/>
      </x:c>
      <x:c r="BG78" s="95" t="str">
        <x:f t="shared" si="27"/>
        <x:v/>
      </x:c>
      <x:c r="BH78" s="95" t="str">
        <x:f t="shared" si="28"/>
        <x:v/>
      </x:c>
      <x:c r="BI78" s="95" t="str">
        <x:f t="shared" si="29"/>
        <x:v/>
      </x:c>
      <x:c r="BJ78" s="95" t="str">
        <x:f t="shared" si="30"/>
        <x:v/>
      </x:c>
      <x:c r="BK78" s="95" t="str">
        <x:f t="shared" si="31"/>
        <x:v/>
      </x:c>
      <x:c r="BL78" s="95" t="str">
        <x:f t="shared" si="32"/>
        <x:v/>
      </x:c>
      <x:c r="BM78" s="95" t="str">
        <x:f t="shared" si="33"/>
        <x:v/>
      </x:c>
      <x:c r="BN78" s="95" t="str">
        <x:f t="shared" si="34"/>
        <x:v/>
      </x:c>
      <x:c r="BO78" s="95" t="str">
        <x:f t="shared" si="35"/>
        <x:v/>
      </x:c>
      <x:c r="BP78" s="95" t="str">
        <x:f t="shared" si="36"/>
        <x:v/>
      </x:c>
      <x:c r="BQ78" s="95" t="str">
        <x:f t="shared" si="37"/>
        <x:v/>
      </x:c>
      <x:c r="BR78" s="95" t="str">
        <x:f t="shared" si="38"/>
        <x:v/>
      </x:c>
      <x:c r="BS78" s="95" t="str">
        <x:f t="shared" si="39"/>
        <x:v/>
      </x:c>
      <x:c r="BT78" s="95" t="str">
        <x:f t="shared" si="40"/>
        <x:v/>
      </x:c>
      <x:c r="BU78" s="94" t="str">
        <x:f t="shared" si="41"/>
        <x:v/>
      </x:c>
      <x:c r="BV78" s="184" t="str">
        <x:f t="shared" si="49"/>
        <x:v/>
      </x:c>
      <x:c r="BW78" s="95" t="s">
        <x:v>167</x:v>
      </x:c>
      <x:c r="BX78" s="95">
        <x:f>BL66</x:f>
        <x:v>0</x:v>
      </x:c>
    </x:row>
    <x:row r="79" spans="1:76" s="25" customFormat="1" ht="15.6" x14ac:dyDescent="0.3">
      <x:c r="A79" s="89"/>
      <x:c r="B79" s="264">
        <x:v>12</x:v>
      </x:c>
      <x:c r="C79" s="119" t="str">
        <x:f t="shared" si="11"/>
        <x:v/>
      </x:c>
      <x:c r="D79" s="208" t="str">
        <x:f t="shared" si="42"/>
        <x:v/>
      </x:c>
      <x:c r="E79" s="166" t="str">
        <x:f t="shared" si="12"/>
        <x:v/>
      </x:c>
      <x:c r="F79" s="670"/>
      <x:c r="G79" s="671"/>
      <x:c r="H79" s="163" t="str">
        <x:f t="shared" si="13"/>
        <x:v/>
      </x:c>
      <x:c r="I79" s="321" t="str">
        <x:f t="shared" si="43"/>
        <x:v/>
      </x:c>
      <x:c r="J79" s="676" t="str">
        <x:f>IFERROR(IF(F79="","",VLOOKUP(F79,'10. Condition and Temporal'!$B$6:$F$103,5,FALSE)), "Error ▲")</x:f>
        <x:v/>
      </x:c>
      <x:c r="K79" s="677"/>
      <x:c r="L79" s="283" t="str">
        <x:f t="shared" si="44"/>
        <x:v/>
      </x:c>
      <x:c r="M79" s="686" t="str">
        <x:f t="shared" si="45"/>
        <x:v/>
      </x:c>
      <x:c r="N79" s="687"/>
      <x:c r="O79" s="74"/>
      <x:c r="P79" s="12"/>
      <x:c r="R79" s="652"/>
      <x:c r="T79" s="177" t="str">
        <x:f t="shared" si="14"/>
        <x:v/>
      </x:c>
      <x:c r="U79" s="114" t="str">
        <x:f t="shared" si="46"/>
        <x:v/>
      </x:c>
      <x:c r="V79" s="94" t="str">
        <x:f t="shared" si="15"/>
        <x:v/>
      </x:c>
      <x:c r="W79" s="93" t="str">
        <x:f t="shared" si="15"/>
        <x:v/>
      </x:c>
      <x:c r="X79" s="94" t="str">
        <x:f t="shared" si="15"/>
        <x:v/>
      </x:c>
      <x:c r="Y79" s="372"/>
      <x:c r="Z79" s="343"/>
      <x:c r="AA79" s="507"/>
      <x:c r="AB79" s="93" t="str">
        <x:f t="shared" si="16"/>
        <x:v/>
      </x:c>
      <x:c r="AC79" s="115" t="str">
        <x:f t="shared" si="17"/>
        <x:v/>
      </x:c>
      <x:c r="AD79" s="177" t="str">
        <x:f t="shared" si="50"/>
        <x:v/>
      </x:c>
      <x:c r="AE79" s="177" t="str">
        <x:f t="shared" si="47"/>
        <x:v/>
      </x:c>
      <x:c r="AF79" s="511" t="str">
        <x:f t="shared" si="18"/>
        <x:v/>
      </x:c>
      <x:c r="AG79" s="114" t="str">
        <x:f>IF(D79="","",VLOOKUP(F79,'9. All Habitats + Multipliers'!$C$4:$K$102,5,FALSE))</x:f>
        <x:v/>
      </x:c>
      <x:c r="AH79" s="344" t="str">
        <x:f>IF(AG79="","",VLOOKUP(AG79,'11. Lists'!$B$47:$D$49,2,FALSE))</x:f>
        <x:v/>
      </x:c>
      <x:c r="AI79" s="93" t="str">
        <x:f t="shared" si="19"/>
        <x:v/>
      </x:c>
      <x:c r="AJ79" s="94" t="str">
        <x:f>IF(AI79="","",VLOOKUP(AI79,'11. Lists'!$F$47:$G$51,2,FALSE))</x:f>
        <x:v/>
      </x:c>
      <x:c r="AK79" s="372"/>
      <x:c r="AL79" s="343"/>
      <x:c r="AM79" s="507"/>
      <x:c r="AN79" s="93" t="str">
        <x:f t="shared" si="20"/>
        <x:v/>
      </x:c>
      <x:c r="AO79" s="95" t="str">
        <x:f>IF(AN79="","",VLOOKUP(AN79,'11. Lists'!$F$36:$H$38,2,FALSE))</x:f>
        <x:v/>
      </x:c>
      <x:c r="AP79" s="94" t="str">
        <x:f>IF(AN79="","",VLOOKUP(AN79,'11. Lists'!$F$36:$H$38,3,FALSE))</x:f>
        <x:v/>
      </x:c>
      <x:c r="AQ79" s="114" t="str">
        <x:f>IF(D79="","",IF(AX79="Distinctiveness","N/A",VLOOKUP(F79,'10. Condition and Temporal'!$B$6:$L$103,11,FALSE)))</x:f>
        <x:v/>
      </x:c>
      <x:c r="AR79" s="118" t="str">
        <x:f>IF(AQ79="","",IF(AQ79="N/A","1",VLOOKUP(AQ79,'11. Lists'!$I$47:$K$80,3,FALSE)))</x:f>
        <x:v/>
      </x:c>
      <x:c r="AS79" s="524" t="str">
        <x:f>IF(D79="","",IF(AX79="Condition","N/A",VLOOKUP(F79,'10. Condition and Temporal'!$B$6:$M$106,12,FALSE)))</x:f>
        <x:v/>
      </x:c>
      <x:c r="AT79" s="118" t="str">
        <x:f>IF(AS79="","",IF(AS79="N/A","1",VLOOKUP(AS79,'11. Lists'!$I$47:$K$80,3,FALSE)))</x:f>
        <x:v/>
      </x:c>
      <x:c r="AU79" s="114" t="str">
        <x:f>IF(D79="","",VLOOKUP(F79,'9. All Habitats + Multipliers'!$C$4:$K$102,8,FALSE))</x:f>
        <x:v/>
      </x:c>
      <x:c r="AV79" s="115" t="str">
        <x:f>IF(AU79="","",VLOOKUP(AU79,'11. Lists'!$J$35:$K$38,2,FALSE))</x:f>
        <x:v/>
      </x:c>
      <x:c r="AW79" s="177" t="str">
        <x:f>IF(D79="","",VLOOKUP(D79,'10. Condition and Temporal'!$B$6:$M$103,4,FALSE))</x:f>
        <x:v/>
      </x:c>
      <x:c r="AX79" s="177" t="str">
        <x:f t="shared" si="21"/>
        <x:v/>
      </x:c>
      <x:c r="AY79" s="463" t="str">
        <x:f t="shared" si="48"/>
        <x:v/>
      </x:c>
      <x:c r="BA79" s="93">
        <x:v>12</x:v>
      </x:c>
      <x:c r="BB79" s="95" t="str">
        <x:f t="shared" si="22"/>
        <x:v/>
      </x:c>
      <x:c r="BC79" s="95" t="str">
        <x:f t="shared" si="23"/>
        <x:v/>
      </x:c>
      <x:c r="BD79" s="95" t="str">
        <x:f t="shared" si="24"/>
        <x:v/>
      </x:c>
      <x:c r="BE79" s="95" t="str">
        <x:f t="shared" si="25"/>
        <x:v/>
      </x:c>
      <x:c r="BF79" s="95" t="str">
        <x:f t="shared" si="26"/>
        <x:v/>
      </x:c>
      <x:c r="BG79" s="95" t="str">
        <x:f t="shared" si="27"/>
        <x:v/>
      </x:c>
      <x:c r="BH79" s="95" t="str">
        <x:f t="shared" si="28"/>
        <x:v/>
      </x:c>
      <x:c r="BI79" s="95" t="str">
        <x:f t="shared" si="29"/>
        <x:v/>
      </x:c>
      <x:c r="BJ79" s="95" t="str">
        <x:f t="shared" si="30"/>
        <x:v/>
      </x:c>
      <x:c r="BK79" s="95" t="str">
        <x:f t="shared" si="31"/>
        <x:v/>
      </x:c>
      <x:c r="BL79" s="95" t="str">
        <x:f t="shared" si="32"/>
        <x:v/>
      </x:c>
      <x:c r="BM79" s="95" t="str">
        <x:f t="shared" si="33"/>
        <x:v/>
      </x:c>
      <x:c r="BN79" s="95" t="str">
        <x:f t="shared" si="34"/>
        <x:v/>
      </x:c>
      <x:c r="BO79" s="95" t="str">
        <x:f t="shared" si="35"/>
        <x:v/>
      </x:c>
      <x:c r="BP79" s="95" t="str">
        <x:f t="shared" si="36"/>
        <x:v/>
      </x:c>
      <x:c r="BQ79" s="95" t="str">
        <x:f t="shared" si="37"/>
        <x:v/>
      </x:c>
      <x:c r="BR79" s="95" t="str">
        <x:f t="shared" si="38"/>
        <x:v/>
      </x:c>
      <x:c r="BS79" s="95" t="str">
        <x:f t="shared" si="39"/>
        <x:v/>
      </x:c>
      <x:c r="BT79" s="95" t="str">
        <x:f t="shared" si="40"/>
        <x:v/>
      </x:c>
      <x:c r="BU79" s="94" t="str">
        <x:f t="shared" si="41"/>
        <x:v/>
      </x:c>
      <x:c r="BV79" s="184" t="str">
        <x:f t="shared" si="49"/>
        <x:v/>
      </x:c>
      <x:c r="BW79" s="95" t="s">
        <x:v>168</x:v>
      </x:c>
      <x:c r="BX79" s="95">
        <x:f>BM66</x:f>
        <x:v>0</x:v>
      </x:c>
    </x:row>
    <x:row r="80" spans="1:76" s="25" customFormat="1" ht="15.6" x14ac:dyDescent="0.3">
      <x:c r="A80" s="89"/>
      <x:c r="B80" s="264">
        <x:v>13</x:v>
      </x:c>
      <x:c r="C80" s="119" t="str">
        <x:f t="shared" si="11"/>
        <x:v/>
      </x:c>
      <x:c r="D80" s="208" t="str">
        <x:f t="shared" si="42"/>
        <x:v/>
      </x:c>
      <x:c r="E80" s="166" t="str">
        <x:f t="shared" si="12"/>
        <x:v/>
      </x:c>
      <x:c r="F80" s="670"/>
      <x:c r="G80" s="671"/>
      <x:c r="H80" s="163" t="str">
        <x:f t="shared" si="13"/>
        <x:v/>
      </x:c>
      <x:c r="I80" s="321" t="str">
        <x:f t="shared" si="43"/>
        <x:v/>
      </x:c>
      <x:c r="J80" s="676" t="str">
        <x:f>IFERROR(IF(F80="","",VLOOKUP(F80,'10. Condition and Temporal'!$B$6:$F$103,5,FALSE)), "Error ▲")</x:f>
        <x:v/>
      </x:c>
      <x:c r="K80" s="677"/>
      <x:c r="L80" s="283" t="str">
        <x:f t="shared" si="44"/>
        <x:v/>
      </x:c>
      <x:c r="M80" s="686" t="str">
        <x:f t="shared" si="45"/>
        <x:v/>
      </x:c>
      <x:c r="N80" s="687"/>
      <x:c r="O80" s="74"/>
      <x:c r="P80" s="12"/>
      <x:c r="R80" s="652"/>
      <x:c r="T80" s="177" t="str">
        <x:f t="shared" si="14"/>
        <x:v/>
      </x:c>
      <x:c r="U80" s="114" t="str">
        <x:f t="shared" si="46"/>
        <x:v/>
      </x:c>
      <x:c r="V80" s="94" t="str">
        <x:f t="shared" si="15"/>
        <x:v/>
      </x:c>
      <x:c r="W80" s="93" t="str">
        <x:f t="shared" si="15"/>
        <x:v/>
      </x:c>
      <x:c r="X80" s="94" t="str">
        <x:f t="shared" si="15"/>
        <x:v/>
      </x:c>
      <x:c r="Y80" s="372"/>
      <x:c r="Z80" s="343"/>
      <x:c r="AA80" s="507"/>
      <x:c r="AB80" s="93" t="str">
        <x:f t="shared" si="16"/>
        <x:v/>
      </x:c>
      <x:c r="AC80" s="115" t="str">
        <x:f t="shared" si="17"/>
        <x:v/>
      </x:c>
      <x:c r="AD80" s="177" t="str">
        <x:f t="shared" si="50"/>
        <x:v/>
      </x:c>
      <x:c r="AE80" s="177" t="str">
        <x:f t="shared" si="47"/>
        <x:v/>
      </x:c>
      <x:c r="AF80" s="511" t="str">
        <x:f t="shared" si="18"/>
        <x:v/>
      </x:c>
      <x:c r="AG80" s="114" t="str">
        <x:f>IF(D80="","",VLOOKUP(F80,'9. All Habitats + Multipliers'!$C$4:$K$102,5,FALSE))</x:f>
        <x:v/>
      </x:c>
      <x:c r="AH80" s="344" t="str">
        <x:f>IF(AG80="","",VLOOKUP(AG80,'11. Lists'!$B$47:$D$49,2,FALSE))</x:f>
        <x:v/>
      </x:c>
      <x:c r="AI80" s="93" t="str">
        <x:f t="shared" si="19"/>
        <x:v/>
      </x:c>
      <x:c r="AJ80" s="94" t="str">
        <x:f>IF(AI80="","",VLOOKUP(AI80,'11. Lists'!$F$47:$G$51,2,FALSE))</x:f>
        <x:v/>
      </x:c>
      <x:c r="AK80" s="372"/>
      <x:c r="AL80" s="343"/>
      <x:c r="AM80" s="507"/>
      <x:c r="AN80" s="93" t="str">
        <x:f t="shared" si="20"/>
        <x:v/>
      </x:c>
      <x:c r="AO80" s="95" t="str">
        <x:f>IF(AN80="","",VLOOKUP(AN80,'11. Lists'!$F$36:$H$38,2,FALSE))</x:f>
        <x:v/>
      </x:c>
      <x:c r="AP80" s="94" t="str">
        <x:f>IF(AN80="","",VLOOKUP(AN80,'11. Lists'!$F$36:$H$38,3,FALSE))</x:f>
        <x:v/>
      </x:c>
      <x:c r="AQ80" s="114" t="str">
        <x:f>IF(D80="","",IF(AX80="Distinctiveness","N/A",VLOOKUP(F80,'10. Condition and Temporal'!$B$6:$L$103,11,FALSE)))</x:f>
        <x:v/>
      </x:c>
      <x:c r="AR80" s="118" t="str">
        <x:f>IF(AQ80="","",IF(AQ80="N/A","1",VLOOKUP(AQ80,'11. Lists'!$I$47:$K$80,3,FALSE)))</x:f>
        <x:v/>
      </x:c>
      <x:c r="AS80" s="524" t="str">
        <x:f>IF(D80="","",IF(AX80="Condition","N/A",VLOOKUP(F80,'10. Condition and Temporal'!$B$6:$M$106,12,FALSE)))</x:f>
        <x:v/>
      </x:c>
      <x:c r="AT80" s="118" t="str">
        <x:f>IF(AS80="","",IF(AS80="N/A","1",VLOOKUP(AS80,'11. Lists'!$I$47:$K$80,3,FALSE)))</x:f>
        <x:v/>
      </x:c>
      <x:c r="AU80" s="114" t="str">
        <x:f>IF(D80="","",VLOOKUP(F80,'9. All Habitats + Multipliers'!$C$4:$K$102,8,FALSE))</x:f>
        <x:v/>
      </x:c>
      <x:c r="AV80" s="115" t="str">
        <x:f>IF(AU80="","",VLOOKUP(AU80,'11. Lists'!$J$35:$K$38,2,FALSE))</x:f>
        <x:v/>
      </x:c>
      <x:c r="AW80" s="177" t="str">
        <x:f>IF(D80="","",VLOOKUP(D80,'10. Condition and Temporal'!$B$6:$M$103,4,FALSE))</x:f>
        <x:v/>
      </x:c>
      <x:c r="AX80" s="177" t="str">
        <x:f t="shared" si="21"/>
        <x:v/>
      </x:c>
      <x:c r="AY80" s="463" t="str">
        <x:f t="shared" si="48"/>
        <x:v/>
      </x:c>
      <x:c r="BA80" s="93">
        <x:v>13</x:v>
      </x:c>
      <x:c r="BB80" s="95" t="str">
        <x:f t="shared" si="22"/>
        <x:v/>
      </x:c>
      <x:c r="BC80" s="95" t="str">
        <x:f t="shared" si="23"/>
        <x:v/>
      </x:c>
      <x:c r="BD80" s="95" t="str">
        <x:f t="shared" si="24"/>
        <x:v/>
      </x:c>
      <x:c r="BE80" s="95" t="str">
        <x:f t="shared" si="25"/>
        <x:v/>
      </x:c>
      <x:c r="BF80" s="95" t="str">
        <x:f t="shared" si="26"/>
        <x:v/>
      </x:c>
      <x:c r="BG80" s="95" t="str">
        <x:f t="shared" si="27"/>
        <x:v/>
      </x:c>
      <x:c r="BH80" s="95" t="str">
        <x:f t="shared" si="28"/>
        <x:v/>
      </x:c>
      <x:c r="BI80" s="95" t="str">
        <x:f t="shared" si="29"/>
        <x:v/>
      </x:c>
      <x:c r="BJ80" s="95" t="str">
        <x:f t="shared" si="30"/>
        <x:v/>
      </x:c>
      <x:c r="BK80" s="95" t="str">
        <x:f t="shared" si="31"/>
        <x:v/>
      </x:c>
      <x:c r="BL80" s="95" t="str">
        <x:f t="shared" si="32"/>
        <x:v/>
      </x:c>
      <x:c r="BM80" s="95" t="str">
        <x:f t="shared" si="33"/>
        <x:v/>
      </x:c>
      <x:c r="BN80" s="95" t="str">
        <x:f t="shared" si="34"/>
        <x:v/>
      </x:c>
      <x:c r="BO80" s="95" t="str">
        <x:f t="shared" si="35"/>
        <x:v/>
      </x:c>
      <x:c r="BP80" s="95" t="str">
        <x:f t="shared" si="36"/>
        <x:v/>
      </x:c>
      <x:c r="BQ80" s="95" t="str">
        <x:f t="shared" si="37"/>
        <x:v/>
      </x:c>
      <x:c r="BR80" s="95" t="str">
        <x:f t="shared" si="38"/>
        <x:v/>
      </x:c>
      <x:c r="BS80" s="95" t="str">
        <x:f t="shared" si="39"/>
        <x:v/>
      </x:c>
      <x:c r="BT80" s="95" t="str">
        <x:f t="shared" si="40"/>
        <x:v/>
      </x:c>
      <x:c r="BU80" s="94" t="str">
        <x:f t="shared" si="41"/>
        <x:v/>
      </x:c>
      <x:c r="BV80" s="184" t="str">
        <x:f t="shared" si="49"/>
        <x:v/>
      </x:c>
      <x:c r="BW80" s="95" t="s">
        <x:v>169</x:v>
      </x:c>
      <x:c r="BX80" s="95">
        <x:f>BN66</x:f>
        <x:v>0</x:v>
      </x:c>
    </x:row>
    <x:row r="81" spans="1:76" s="25" customFormat="1" ht="15.6" x14ac:dyDescent="0.3">
      <x:c r="A81" s="89"/>
      <x:c r="B81" s="264">
        <x:v>14</x:v>
      </x:c>
      <x:c r="C81" s="119" t="str">
        <x:f t="shared" si="11"/>
        <x:v/>
      </x:c>
      <x:c r="D81" s="208" t="str">
        <x:f t="shared" si="42"/>
        <x:v/>
      </x:c>
      <x:c r="E81" s="166" t="str">
        <x:f t="shared" si="12"/>
        <x:v/>
      </x:c>
      <x:c r="F81" s="670"/>
      <x:c r="G81" s="671"/>
      <x:c r="H81" s="163" t="str">
        <x:f t="shared" si="13"/>
        <x:v/>
      </x:c>
      <x:c r="I81" s="321" t="str">
        <x:f t="shared" si="43"/>
        <x:v/>
      </x:c>
      <x:c r="J81" s="676" t="str">
        <x:f>IFERROR(IF(F81="","",VLOOKUP(F81,'10. Condition and Temporal'!$B$6:$F$103,5,FALSE)), "Error ▲")</x:f>
        <x:v/>
      </x:c>
      <x:c r="K81" s="677"/>
      <x:c r="L81" s="283" t="str">
        <x:f t="shared" si="44"/>
        <x:v/>
      </x:c>
      <x:c r="M81" s="686" t="str">
        <x:f t="shared" si="45"/>
        <x:v/>
      </x:c>
      <x:c r="N81" s="687"/>
      <x:c r="O81" s="74"/>
      <x:c r="P81" s="12"/>
      <x:c r="R81" s="652"/>
      <x:c r="T81" s="177" t="str">
        <x:f t="shared" si="14"/>
        <x:v/>
      </x:c>
      <x:c r="U81" s="114" t="str">
        <x:f t="shared" si="46"/>
        <x:v/>
      </x:c>
      <x:c r="V81" s="94" t="str">
        <x:f t="shared" si="15"/>
        <x:v/>
      </x:c>
      <x:c r="W81" s="93" t="str">
        <x:f t="shared" si="15"/>
        <x:v/>
      </x:c>
      <x:c r="X81" s="94" t="str">
        <x:f t="shared" si="15"/>
        <x:v/>
      </x:c>
      <x:c r="Y81" s="372"/>
      <x:c r="Z81" s="343"/>
      <x:c r="AA81" s="507"/>
      <x:c r="AB81" s="93" t="str">
        <x:f t="shared" si="16"/>
        <x:v/>
      </x:c>
      <x:c r="AC81" s="115" t="str">
        <x:f t="shared" si="17"/>
        <x:v/>
      </x:c>
      <x:c r="AD81" s="177" t="str">
        <x:f t="shared" si="50"/>
        <x:v/>
      </x:c>
      <x:c r="AE81" s="177" t="str">
        <x:f t="shared" si="47"/>
        <x:v/>
      </x:c>
      <x:c r="AF81" s="511" t="str">
        <x:f t="shared" si="18"/>
        <x:v/>
      </x:c>
      <x:c r="AG81" s="114" t="str">
        <x:f>IF(D81="","",VLOOKUP(F81,'9. All Habitats + Multipliers'!$C$4:$K$102,5,FALSE))</x:f>
        <x:v/>
      </x:c>
      <x:c r="AH81" s="344" t="str">
        <x:f>IF(AG81="","",VLOOKUP(AG81,'11. Lists'!$B$47:$D$49,2,FALSE))</x:f>
        <x:v/>
      </x:c>
      <x:c r="AI81" s="93" t="str">
        <x:f t="shared" si="19"/>
        <x:v/>
      </x:c>
      <x:c r="AJ81" s="94" t="str">
        <x:f>IF(AI81="","",VLOOKUP(AI81,'11. Lists'!$F$47:$G$51,2,FALSE))</x:f>
        <x:v/>
      </x:c>
      <x:c r="AK81" s="372"/>
      <x:c r="AL81" s="343"/>
      <x:c r="AM81" s="507"/>
      <x:c r="AN81" s="93" t="str">
        <x:f t="shared" si="20"/>
        <x:v/>
      </x:c>
      <x:c r="AO81" s="95" t="str">
        <x:f>IF(AN81="","",VLOOKUP(AN81,'11. Lists'!$F$36:$H$38,2,FALSE))</x:f>
        <x:v/>
      </x:c>
      <x:c r="AP81" s="94" t="str">
        <x:f>IF(AN81="","",VLOOKUP(AN81,'11. Lists'!$F$36:$H$38,3,FALSE))</x:f>
        <x:v/>
      </x:c>
      <x:c r="AQ81" s="114" t="str">
        <x:f>IF(D81="","",IF(AX81="Distinctiveness","N/A",VLOOKUP(F81,'10. Condition and Temporal'!$B$6:$L$103,11,FALSE)))</x:f>
        <x:v/>
      </x:c>
      <x:c r="AR81" s="118" t="str">
        <x:f>IF(AQ81="","",IF(AQ81="N/A","1",VLOOKUP(AQ81,'11. Lists'!$I$47:$K$80,3,FALSE)))</x:f>
        <x:v/>
      </x:c>
      <x:c r="AS81" s="524" t="str">
        <x:f>IF(D81="","",IF(AX81="Condition","N/A",VLOOKUP(F81,'10. Condition and Temporal'!$B$6:$M$106,12,FALSE)))</x:f>
        <x:v/>
      </x:c>
      <x:c r="AT81" s="118" t="str">
        <x:f>IF(AS81="","",IF(AS81="N/A","1",VLOOKUP(AS81,'11. Lists'!$I$47:$K$80,3,FALSE)))</x:f>
        <x:v/>
      </x:c>
      <x:c r="AU81" s="114" t="str">
        <x:f>IF(D81="","",VLOOKUP(F81,'9. All Habitats + Multipliers'!$C$4:$K$102,8,FALSE))</x:f>
        <x:v/>
      </x:c>
      <x:c r="AV81" s="115" t="str">
        <x:f>IF(AU81="","",VLOOKUP(AU81,'11. Lists'!$J$35:$K$38,2,FALSE))</x:f>
        <x:v/>
      </x:c>
      <x:c r="AW81" s="177" t="str">
        <x:f>IF(D81="","",VLOOKUP(D81,'10. Condition and Temporal'!$B$6:$M$103,4,FALSE))</x:f>
        <x:v/>
      </x:c>
      <x:c r="AX81" s="177" t="str">
        <x:f t="shared" si="21"/>
        <x:v/>
      </x:c>
      <x:c r="AY81" s="463" t="str">
        <x:f t="shared" si="48"/>
        <x:v/>
      </x:c>
      <x:c r="BA81" s="93">
        <x:v>14</x:v>
      </x:c>
      <x:c r="BB81" s="95" t="str">
        <x:f t="shared" si="22"/>
        <x:v/>
      </x:c>
      <x:c r="BC81" s="95" t="str">
        <x:f t="shared" si="23"/>
        <x:v/>
      </x:c>
      <x:c r="BD81" s="95" t="str">
        <x:f t="shared" si="24"/>
        <x:v/>
      </x:c>
      <x:c r="BE81" s="95" t="str">
        <x:f t="shared" si="25"/>
        <x:v/>
      </x:c>
      <x:c r="BF81" s="95" t="str">
        <x:f t="shared" si="26"/>
        <x:v/>
      </x:c>
      <x:c r="BG81" s="95" t="str">
        <x:f t="shared" si="27"/>
        <x:v/>
      </x:c>
      <x:c r="BH81" s="95" t="str">
        <x:f t="shared" si="28"/>
        <x:v/>
      </x:c>
      <x:c r="BI81" s="95" t="str">
        <x:f t="shared" si="29"/>
        <x:v/>
      </x:c>
      <x:c r="BJ81" s="95" t="str">
        <x:f t="shared" si="30"/>
        <x:v/>
      </x:c>
      <x:c r="BK81" s="95" t="str">
        <x:f t="shared" si="31"/>
        <x:v/>
      </x:c>
      <x:c r="BL81" s="95" t="str">
        <x:f t="shared" si="32"/>
        <x:v/>
      </x:c>
      <x:c r="BM81" s="95" t="str">
        <x:f t="shared" si="33"/>
        <x:v/>
      </x:c>
      <x:c r="BN81" s="95" t="str">
        <x:f t="shared" si="34"/>
        <x:v/>
      </x:c>
      <x:c r="BO81" s="95" t="str">
        <x:f t="shared" si="35"/>
        <x:v/>
      </x:c>
      <x:c r="BP81" s="95" t="str">
        <x:f t="shared" si="36"/>
        <x:v/>
      </x:c>
      <x:c r="BQ81" s="95" t="str">
        <x:f t="shared" si="37"/>
        <x:v/>
      </x:c>
      <x:c r="BR81" s="95" t="str">
        <x:f t="shared" si="38"/>
        <x:v/>
      </x:c>
      <x:c r="BS81" s="95" t="str">
        <x:f t="shared" si="39"/>
        <x:v/>
      </x:c>
      <x:c r="BT81" s="95" t="str">
        <x:f t="shared" si="40"/>
        <x:v/>
      </x:c>
      <x:c r="BU81" s="94" t="str">
        <x:f t="shared" si="41"/>
        <x:v/>
      </x:c>
      <x:c r="BV81" s="184" t="str">
        <x:f t="shared" si="49"/>
        <x:v/>
      </x:c>
      <x:c r="BW81" s="95" t="s">
        <x:v>170</x:v>
      </x:c>
      <x:c r="BX81" s="95">
        <x:f>BO66</x:f>
        <x:v>0</x:v>
      </x:c>
    </x:row>
    <x:row r="82" spans="1:76" s="25" customFormat="1" ht="15.6" x14ac:dyDescent="0.3">
      <x:c r="A82" s="89"/>
      <x:c r="B82" s="264">
        <x:v>15</x:v>
      </x:c>
      <x:c r="C82" s="119" t="str">
        <x:f t="shared" si="11"/>
        <x:v/>
      </x:c>
      <x:c r="D82" s="208" t="str">
        <x:f t="shared" si="42"/>
        <x:v/>
      </x:c>
      <x:c r="E82" s="166" t="str">
        <x:f t="shared" si="12"/>
        <x:v/>
      </x:c>
      <x:c r="F82" s="670"/>
      <x:c r="G82" s="671"/>
      <x:c r="H82" s="163" t="str">
        <x:f t="shared" si="13"/>
        <x:v/>
      </x:c>
      <x:c r="I82" s="321" t="str">
        <x:f t="shared" si="43"/>
        <x:v/>
      </x:c>
      <x:c r="J82" s="676" t="str">
        <x:f>IFERROR(IF(F82="","",VLOOKUP(F82,'10. Condition and Temporal'!$B$6:$F$103,5,FALSE)), "Error ▲")</x:f>
        <x:v/>
      </x:c>
      <x:c r="K82" s="677"/>
      <x:c r="L82" s="283" t="str">
        <x:f t="shared" si="44"/>
        <x:v/>
      </x:c>
      <x:c r="M82" s="686" t="str">
        <x:f t="shared" si="45"/>
        <x:v/>
      </x:c>
      <x:c r="N82" s="687"/>
      <x:c r="O82" s="74"/>
      <x:c r="P82" s="12"/>
      <x:c r="R82" s="652"/>
      <x:c r="T82" s="177" t="str">
        <x:f t="shared" si="14"/>
        <x:v/>
      </x:c>
      <x:c r="U82" s="114" t="str">
        <x:f t="shared" si="46"/>
        <x:v/>
      </x:c>
      <x:c r="V82" s="94" t="str">
        <x:f t="shared" si="15"/>
        <x:v/>
      </x:c>
      <x:c r="W82" s="93" t="str">
        <x:f t="shared" si="15"/>
        <x:v/>
      </x:c>
      <x:c r="X82" s="94" t="str">
        <x:f t="shared" si="15"/>
        <x:v/>
      </x:c>
      <x:c r="Y82" s="372"/>
      <x:c r="Z82" s="343"/>
      <x:c r="AA82" s="507"/>
      <x:c r="AB82" s="93" t="str">
        <x:f t="shared" si="16"/>
        <x:v/>
      </x:c>
      <x:c r="AC82" s="115" t="str">
        <x:f t="shared" si="17"/>
        <x:v/>
      </x:c>
      <x:c r="AD82" s="177" t="str">
        <x:f t="shared" si="50"/>
        <x:v/>
      </x:c>
      <x:c r="AE82" s="177" t="str">
        <x:f t="shared" si="47"/>
        <x:v/>
      </x:c>
      <x:c r="AF82" s="511" t="str">
        <x:f t="shared" si="18"/>
        <x:v/>
      </x:c>
      <x:c r="AG82" s="114" t="str">
        <x:f>IF(D82="","",VLOOKUP(F82,'9. All Habitats + Multipliers'!$C$4:$K$102,5,FALSE))</x:f>
        <x:v/>
      </x:c>
      <x:c r="AH82" s="344" t="str">
        <x:f>IF(AG82="","",VLOOKUP(AG82,'11. Lists'!$B$47:$D$49,2,FALSE))</x:f>
        <x:v/>
      </x:c>
      <x:c r="AI82" s="93" t="str">
        <x:f t="shared" si="19"/>
        <x:v/>
      </x:c>
      <x:c r="AJ82" s="94" t="str">
        <x:f>IF(AI82="","",VLOOKUP(AI82,'11. Lists'!$F$47:$G$51,2,FALSE))</x:f>
        <x:v/>
      </x:c>
      <x:c r="AK82" s="372"/>
      <x:c r="AL82" s="343"/>
      <x:c r="AM82" s="507"/>
      <x:c r="AN82" s="93" t="str">
        <x:f t="shared" si="20"/>
        <x:v/>
      </x:c>
      <x:c r="AO82" s="95" t="str">
        <x:f>IF(AN82="","",VLOOKUP(AN82,'11. Lists'!$F$36:$H$38,2,FALSE))</x:f>
        <x:v/>
      </x:c>
      <x:c r="AP82" s="94" t="str">
        <x:f>IF(AN82="","",VLOOKUP(AN82,'11. Lists'!$F$36:$H$38,3,FALSE))</x:f>
        <x:v/>
      </x:c>
      <x:c r="AQ82" s="114" t="str">
        <x:f>IF(D82="","",IF(AX82="Distinctiveness","N/A",VLOOKUP(F82,'10. Condition and Temporal'!$B$6:$L$103,11,FALSE)))</x:f>
        <x:v/>
      </x:c>
      <x:c r="AR82" s="118" t="str">
        <x:f>IF(AQ82="","",IF(AQ82="N/A","1",VLOOKUP(AQ82,'11. Lists'!$I$47:$K$80,3,FALSE)))</x:f>
        <x:v/>
      </x:c>
      <x:c r="AS82" s="524" t="str">
        <x:f>IF(D82="","",IF(AX82="Condition","N/A",VLOOKUP(F82,'10. Condition and Temporal'!$B$6:$M$106,12,FALSE)))</x:f>
        <x:v/>
      </x:c>
      <x:c r="AT82" s="118" t="str">
        <x:f>IF(AS82="","",IF(AS82="N/A","1",VLOOKUP(AS82,'11. Lists'!$I$47:$K$80,3,FALSE)))</x:f>
        <x:v/>
      </x:c>
      <x:c r="AU82" s="114" t="str">
        <x:f>IF(D82="","",VLOOKUP(F82,'9. All Habitats + Multipliers'!$C$4:$K$102,8,FALSE))</x:f>
        <x:v/>
      </x:c>
      <x:c r="AV82" s="115" t="str">
        <x:f>IF(AU82="","",VLOOKUP(AU82,'11. Lists'!$J$35:$K$38,2,FALSE))</x:f>
        <x:v/>
      </x:c>
      <x:c r="AW82" s="177" t="str">
        <x:f>IF(D82="","",VLOOKUP(D82,'10. Condition and Temporal'!$B$6:$M$103,4,FALSE))</x:f>
        <x:v/>
      </x:c>
      <x:c r="AX82" s="177" t="str">
        <x:f t="shared" si="21"/>
        <x:v/>
      </x:c>
      <x:c r="AY82" s="463" t="str">
        <x:f t="shared" si="48"/>
        <x:v/>
      </x:c>
      <x:c r="BA82" s="93">
        <x:v>15</x:v>
      </x:c>
      <x:c r="BB82" s="95" t="str">
        <x:f t="shared" si="22"/>
        <x:v/>
      </x:c>
      <x:c r="BC82" s="95" t="str">
        <x:f t="shared" si="23"/>
        <x:v/>
      </x:c>
      <x:c r="BD82" s="95" t="str">
        <x:f t="shared" si="24"/>
        <x:v/>
      </x:c>
      <x:c r="BE82" s="95" t="str">
        <x:f t="shared" si="25"/>
        <x:v/>
      </x:c>
      <x:c r="BF82" s="95" t="str">
        <x:f t="shared" si="26"/>
        <x:v/>
      </x:c>
      <x:c r="BG82" s="95" t="str">
        <x:f t="shared" si="27"/>
        <x:v/>
      </x:c>
      <x:c r="BH82" s="95" t="str">
        <x:f t="shared" si="28"/>
        <x:v/>
      </x:c>
      <x:c r="BI82" s="95" t="str">
        <x:f t="shared" si="29"/>
        <x:v/>
      </x:c>
      <x:c r="BJ82" s="95" t="str">
        <x:f t="shared" si="30"/>
        <x:v/>
      </x:c>
      <x:c r="BK82" s="95" t="str">
        <x:f t="shared" si="31"/>
        <x:v/>
      </x:c>
      <x:c r="BL82" s="95" t="str">
        <x:f t="shared" si="32"/>
        <x:v/>
      </x:c>
      <x:c r="BM82" s="95" t="str">
        <x:f t="shared" si="33"/>
        <x:v/>
      </x:c>
      <x:c r="BN82" s="95" t="str">
        <x:f t="shared" si="34"/>
        <x:v/>
      </x:c>
      <x:c r="BO82" s="95" t="str">
        <x:f t="shared" si="35"/>
        <x:v/>
      </x:c>
      <x:c r="BP82" s="95" t="str">
        <x:f t="shared" si="36"/>
        <x:v/>
      </x:c>
      <x:c r="BQ82" s="95" t="str">
        <x:f t="shared" si="37"/>
        <x:v/>
      </x:c>
      <x:c r="BR82" s="95" t="str">
        <x:f t="shared" si="38"/>
        <x:v/>
      </x:c>
      <x:c r="BS82" s="95" t="str">
        <x:f t="shared" si="39"/>
        <x:v/>
      </x:c>
      <x:c r="BT82" s="95" t="str">
        <x:f t="shared" si="40"/>
        <x:v/>
      </x:c>
      <x:c r="BU82" s="94" t="str">
        <x:f t="shared" si="41"/>
        <x:v/>
      </x:c>
      <x:c r="BV82" s="184" t="str">
        <x:f t="shared" si="49"/>
        <x:v/>
      </x:c>
      <x:c r="BW82" s="95" t="s">
        <x:v>171</x:v>
      </x:c>
      <x:c r="BX82" s="95">
        <x:f>BP66</x:f>
        <x:v>0</x:v>
      </x:c>
    </x:row>
    <x:row r="83" spans="1:76" s="25" customFormat="1" ht="15.6" x14ac:dyDescent="0.3">
      <x:c r="A83" s="89"/>
      <x:c r="B83" s="264">
        <x:v>16</x:v>
      </x:c>
      <x:c r="C83" s="119" t="str">
        <x:f t="shared" si="11"/>
        <x:v/>
      </x:c>
      <x:c r="D83" s="208" t="str">
        <x:f t="shared" si="42"/>
        <x:v/>
      </x:c>
      <x:c r="E83" s="166" t="str">
        <x:f t="shared" si="12"/>
        <x:v/>
      </x:c>
      <x:c r="F83" s="670"/>
      <x:c r="G83" s="671"/>
      <x:c r="H83" s="163" t="str">
        <x:f t="shared" si="13"/>
        <x:v/>
      </x:c>
      <x:c r="I83" s="321" t="str">
        <x:f t="shared" si="43"/>
        <x:v/>
      </x:c>
      <x:c r="J83" s="676" t="str">
        <x:f>IFERROR(IF(F83="","",VLOOKUP(F83,'10. Condition and Temporal'!$B$6:$F$103,5,FALSE)), "Error ▲")</x:f>
        <x:v/>
      </x:c>
      <x:c r="K83" s="677"/>
      <x:c r="L83" s="283" t="str">
        <x:f t="shared" si="44"/>
        <x:v/>
      </x:c>
      <x:c r="M83" s="686" t="str">
        <x:f t="shared" si="45"/>
        <x:v/>
      </x:c>
      <x:c r="N83" s="687"/>
      <x:c r="O83" s="74"/>
      <x:c r="P83" s="12"/>
      <x:c r="R83" s="652"/>
      <x:c r="T83" s="177" t="str">
        <x:f t="shared" si="14"/>
        <x:v/>
      </x:c>
      <x:c r="U83" s="114" t="str">
        <x:f t="shared" si="46"/>
        <x:v/>
      </x:c>
      <x:c r="V83" s="94" t="str">
        <x:f t="shared" si="15"/>
        <x:v/>
      </x:c>
      <x:c r="W83" s="93" t="str">
        <x:f t="shared" si="15"/>
        <x:v/>
      </x:c>
      <x:c r="X83" s="94" t="str">
        <x:f t="shared" si="15"/>
        <x:v/>
      </x:c>
      <x:c r="Y83" s="372"/>
      <x:c r="Z83" s="343"/>
      <x:c r="AA83" s="507"/>
      <x:c r="AB83" s="93" t="str">
        <x:f t="shared" si="16"/>
        <x:v/>
      </x:c>
      <x:c r="AC83" s="115" t="str">
        <x:f t="shared" si="17"/>
        <x:v/>
      </x:c>
      <x:c r="AD83" s="177" t="str">
        <x:f t="shared" si="50"/>
        <x:v/>
      </x:c>
      <x:c r="AE83" s="177" t="str">
        <x:f t="shared" si="47"/>
        <x:v/>
      </x:c>
      <x:c r="AF83" s="511" t="str">
        <x:f t="shared" si="18"/>
        <x:v/>
      </x:c>
      <x:c r="AG83" s="114" t="str">
        <x:f>IF(D83="","",VLOOKUP(F83,'9. All Habitats + Multipliers'!$C$4:$K$102,5,FALSE))</x:f>
        <x:v/>
      </x:c>
      <x:c r="AH83" s="344" t="str">
        <x:f>IF(AG83="","",VLOOKUP(AG83,'11. Lists'!$B$47:$D$49,2,FALSE))</x:f>
        <x:v/>
      </x:c>
      <x:c r="AI83" s="93" t="str">
        <x:f t="shared" si="19"/>
        <x:v/>
      </x:c>
      <x:c r="AJ83" s="94" t="str">
        <x:f>IF(AI83="","",VLOOKUP(AI83,'11. Lists'!$F$47:$G$51,2,FALSE))</x:f>
        <x:v/>
      </x:c>
      <x:c r="AK83" s="372"/>
      <x:c r="AL83" s="343"/>
      <x:c r="AM83" s="507"/>
      <x:c r="AN83" s="93" t="str">
        <x:f t="shared" si="20"/>
        <x:v/>
      </x:c>
      <x:c r="AO83" s="95" t="str">
        <x:f>IF(AN83="","",VLOOKUP(AN83,'11. Lists'!$F$36:$H$38,2,FALSE))</x:f>
        <x:v/>
      </x:c>
      <x:c r="AP83" s="94" t="str">
        <x:f>IF(AN83="","",VLOOKUP(AN83,'11. Lists'!$F$36:$H$38,3,FALSE))</x:f>
        <x:v/>
      </x:c>
      <x:c r="AQ83" s="114" t="str">
        <x:f>IF(D83="","",IF(AX83="Distinctiveness","N/A",VLOOKUP(F83,'10. Condition and Temporal'!$B$6:$L$103,11,FALSE)))</x:f>
        <x:v/>
      </x:c>
      <x:c r="AR83" s="118" t="str">
        <x:f>IF(AQ83="","",IF(AQ83="N/A","1",VLOOKUP(AQ83,'11. Lists'!$I$47:$K$80,3,FALSE)))</x:f>
        <x:v/>
      </x:c>
      <x:c r="AS83" s="524" t="str">
        <x:f>IF(D83="","",IF(AX83="Condition","N/A",VLOOKUP(F83,'10. Condition and Temporal'!$B$6:$M$106,12,FALSE)))</x:f>
        <x:v/>
      </x:c>
      <x:c r="AT83" s="118" t="str">
        <x:f>IF(AS83="","",IF(AS83="N/A","1",VLOOKUP(AS83,'11. Lists'!$I$47:$K$80,3,FALSE)))</x:f>
        <x:v/>
      </x:c>
      <x:c r="AU83" s="114" t="str">
        <x:f>IF(D83="","",VLOOKUP(F83,'9. All Habitats + Multipliers'!$C$4:$K$102,8,FALSE))</x:f>
        <x:v/>
      </x:c>
      <x:c r="AV83" s="115" t="str">
        <x:f>IF(AU83="","",VLOOKUP(AU83,'11. Lists'!$J$35:$K$38,2,FALSE))</x:f>
        <x:v/>
      </x:c>
      <x:c r="AW83" s="177" t="str">
        <x:f>IF(D83="","",VLOOKUP(D83,'10. Condition and Temporal'!$B$6:$M$103,4,FALSE))</x:f>
        <x:v/>
      </x:c>
      <x:c r="AX83" s="177" t="str">
        <x:f t="shared" si="21"/>
        <x:v/>
      </x:c>
      <x:c r="AY83" s="463" t="str">
        <x:f t="shared" si="48"/>
        <x:v/>
      </x:c>
      <x:c r="BA83" s="93">
        <x:v>16</x:v>
      </x:c>
      <x:c r="BB83" s="95" t="str">
        <x:f t="shared" si="22"/>
        <x:v/>
      </x:c>
      <x:c r="BC83" s="95" t="str">
        <x:f t="shared" si="23"/>
        <x:v/>
      </x:c>
      <x:c r="BD83" s="95" t="str">
        <x:f t="shared" si="24"/>
        <x:v/>
      </x:c>
      <x:c r="BE83" s="95" t="str">
        <x:f t="shared" si="25"/>
        <x:v/>
      </x:c>
      <x:c r="BF83" s="95" t="str">
        <x:f t="shared" si="26"/>
        <x:v/>
      </x:c>
      <x:c r="BG83" s="95" t="str">
        <x:f t="shared" si="27"/>
        <x:v/>
      </x:c>
      <x:c r="BH83" s="95" t="str">
        <x:f t="shared" si="28"/>
        <x:v/>
      </x:c>
      <x:c r="BI83" s="95" t="str">
        <x:f t="shared" si="29"/>
        <x:v/>
      </x:c>
      <x:c r="BJ83" s="95" t="str">
        <x:f t="shared" si="30"/>
        <x:v/>
      </x:c>
      <x:c r="BK83" s="95" t="str">
        <x:f t="shared" si="31"/>
        <x:v/>
      </x:c>
      <x:c r="BL83" s="95" t="str">
        <x:f t="shared" si="32"/>
        <x:v/>
      </x:c>
      <x:c r="BM83" s="95" t="str">
        <x:f t="shared" si="33"/>
        <x:v/>
      </x:c>
      <x:c r="BN83" s="95" t="str">
        <x:f t="shared" si="34"/>
        <x:v/>
      </x:c>
      <x:c r="BO83" s="95" t="str">
        <x:f t="shared" si="35"/>
        <x:v/>
      </x:c>
      <x:c r="BP83" s="95" t="str">
        <x:f t="shared" si="36"/>
        <x:v/>
      </x:c>
      <x:c r="BQ83" s="95" t="str">
        <x:f t="shared" si="37"/>
        <x:v/>
      </x:c>
      <x:c r="BR83" s="95" t="str">
        <x:f t="shared" si="38"/>
        <x:v/>
      </x:c>
      <x:c r="BS83" s="95" t="str">
        <x:f t="shared" si="39"/>
        <x:v/>
      </x:c>
      <x:c r="BT83" s="95" t="str">
        <x:f t="shared" si="40"/>
        <x:v/>
      </x:c>
      <x:c r="BU83" s="94" t="str">
        <x:f t="shared" si="41"/>
        <x:v/>
      </x:c>
      <x:c r="BV83" s="184" t="str">
        <x:f t="shared" si="49"/>
        <x:v/>
      </x:c>
      <x:c r="BW83" s="95" t="s">
        <x:v>172</x:v>
      </x:c>
      <x:c r="BX83" s="95">
        <x:f>BQ66</x:f>
        <x:v>0</x:v>
      </x:c>
    </x:row>
    <x:row r="84" spans="1:76" s="25" customFormat="1" ht="15.6" x14ac:dyDescent="0.3">
      <x:c r="A84" s="89"/>
      <x:c r="B84" s="264">
        <x:v>17</x:v>
      </x:c>
      <x:c r="C84" s="119" t="str">
        <x:f t="shared" si="11"/>
        <x:v/>
      </x:c>
      <x:c r="D84" s="208" t="str">
        <x:f t="shared" si="42"/>
        <x:v/>
      </x:c>
      <x:c r="E84" s="166" t="str">
        <x:f t="shared" si="12"/>
        <x:v/>
      </x:c>
      <x:c r="F84" s="670"/>
      <x:c r="G84" s="671"/>
      <x:c r="H84" s="163" t="str">
        <x:f t="shared" si="13"/>
        <x:v/>
      </x:c>
      <x:c r="I84" s="321" t="str">
        <x:f t="shared" si="43"/>
        <x:v/>
      </x:c>
      <x:c r="J84" s="676" t="str">
        <x:f>IFERROR(IF(F84="","",VLOOKUP(F84,'10. Condition and Temporal'!$B$6:$F$103,5,FALSE)), "Error ▲")</x:f>
        <x:v/>
      </x:c>
      <x:c r="K84" s="677"/>
      <x:c r="L84" s="283" t="str">
        <x:f t="shared" si="44"/>
        <x:v/>
      </x:c>
      <x:c r="M84" s="686" t="str">
        <x:f t="shared" si="45"/>
        <x:v/>
      </x:c>
      <x:c r="N84" s="687"/>
      <x:c r="O84" s="74"/>
      <x:c r="P84" s="12"/>
      <x:c r="R84" s="652"/>
      <x:c r="T84" s="177" t="str">
        <x:f t="shared" si="14"/>
        <x:v/>
      </x:c>
      <x:c r="U84" s="114" t="str">
        <x:f t="shared" si="46"/>
        <x:v/>
      </x:c>
      <x:c r="V84" s="94" t="str">
        <x:f t="shared" si="15"/>
        <x:v/>
      </x:c>
      <x:c r="W84" s="93" t="str">
        <x:f t="shared" si="15"/>
        <x:v/>
      </x:c>
      <x:c r="X84" s="94" t="str">
        <x:f t="shared" si="15"/>
        <x:v/>
      </x:c>
      <x:c r="Y84" s="372"/>
      <x:c r="Z84" s="343"/>
      <x:c r="AA84" s="507"/>
      <x:c r="AB84" s="93" t="str">
        <x:f t="shared" si="16"/>
        <x:v/>
      </x:c>
      <x:c r="AC84" s="115" t="str">
        <x:f t="shared" si="17"/>
        <x:v/>
      </x:c>
      <x:c r="AD84" s="177" t="str">
        <x:f t="shared" si="50"/>
        <x:v/>
      </x:c>
      <x:c r="AE84" s="177" t="str">
        <x:f t="shared" si="47"/>
        <x:v/>
      </x:c>
      <x:c r="AF84" s="511" t="str">
        <x:f t="shared" si="18"/>
        <x:v/>
      </x:c>
      <x:c r="AG84" s="114" t="str">
        <x:f>IF(D84="","",VLOOKUP(F84,'9. All Habitats + Multipliers'!$C$4:$K$102,5,FALSE))</x:f>
        <x:v/>
      </x:c>
      <x:c r="AH84" s="344" t="str">
        <x:f>IF(AG84="","",VLOOKUP(AG84,'11. Lists'!$B$47:$D$49,2,FALSE))</x:f>
        <x:v/>
      </x:c>
      <x:c r="AI84" s="93" t="str">
        <x:f t="shared" si="19"/>
        <x:v/>
      </x:c>
      <x:c r="AJ84" s="94" t="str">
        <x:f>IF(AI84="","",VLOOKUP(AI84,'11. Lists'!$F$47:$G$51,2,FALSE))</x:f>
        <x:v/>
      </x:c>
      <x:c r="AK84" s="372"/>
      <x:c r="AL84" s="343"/>
      <x:c r="AM84" s="507"/>
      <x:c r="AN84" s="93" t="str">
        <x:f t="shared" si="20"/>
        <x:v/>
      </x:c>
      <x:c r="AO84" s="95" t="str">
        <x:f>IF(AN84="","",VLOOKUP(AN84,'11. Lists'!$F$36:$H$38,2,FALSE))</x:f>
        <x:v/>
      </x:c>
      <x:c r="AP84" s="94" t="str">
        <x:f>IF(AN84="","",VLOOKUP(AN84,'11. Lists'!$F$36:$H$38,3,FALSE))</x:f>
        <x:v/>
      </x:c>
      <x:c r="AQ84" s="114" t="str">
        <x:f>IF(D84="","",IF(AX84="Distinctiveness","N/A",VLOOKUP(F84,'10. Condition and Temporal'!$B$6:$L$103,11,FALSE)))</x:f>
        <x:v/>
      </x:c>
      <x:c r="AR84" s="118" t="str">
        <x:f>IF(AQ84="","",IF(AQ84="N/A","1",VLOOKUP(AQ84,'11. Lists'!$I$47:$K$80,3,FALSE)))</x:f>
        <x:v/>
      </x:c>
      <x:c r="AS84" s="524" t="str">
        <x:f>IF(D84="","",IF(AX84="Condition","N/A",VLOOKUP(F84,'10. Condition and Temporal'!$B$6:$M$106,12,FALSE)))</x:f>
        <x:v/>
      </x:c>
      <x:c r="AT84" s="118" t="str">
        <x:f>IF(AS84="","",IF(AS84="N/A","1",VLOOKUP(AS84,'11. Lists'!$I$47:$K$80,3,FALSE)))</x:f>
        <x:v/>
      </x:c>
      <x:c r="AU84" s="114" t="str">
        <x:f>IF(D84="","",VLOOKUP(F84,'9. All Habitats + Multipliers'!$C$4:$K$102,8,FALSE))</x:f>
        <x:v/>
      </x:c>
      <x:c r="AV84" s="115" t="str">
        <x:f>IF(AU84="","",VLOOKUP(AU84,'11. Lists'!$J$35:$K$38,2,FALSE))</x:f>
        <x:v/>
      </x:c>
      <x:c r="AW84" s="177" t="str">
        <x:f>IF(D84="","",VLOOKUP(D84,'10. Condition and Temporal'!$B$6:$M$103,4,FALSE))</x:f>
        <x:v/>
      </x:c>
      <x:c r="AX84" s="177" t="str">
        <x:f t="shared" si="21"/>
        <x:v/>
      </x:c>
      <x:c r="AY84" s="463" t="str">
        <x:f t="shared" si="48"/>
        <x:v/>
      </x:c>
      <x:c r="BA84" s="93">
        <x:v>17</x:v>
      </x:c>
      <x:c r="BB84" s="95" t="str">
        <x:f t="shared" si="22"/>
        <x:v/>
      </x:c>
      <x:c r="BC84" s="95" t="str">
        <x:f t="shared" si="23"/>
        <x:v/>
      </x:c>
      <x:c r="BD84" s="95" t="str">
        <x:f t="shared" si="24"/>
        <x:v/>
      </x:c>
      <x:c r="BE84" s="95" t="str">
        <x:f t="shared" si="25"/>
        <x:v/>
      </x:c>
      <x:c r="BF84" s="95" t="str">
        <x:f t="shared" si="26"/>
        <x:v/>
      </x:c>
      <x:c r="BG84" s="95" t="str">
        <x:f t="shared" si="27"/>
        <x:v/>
      </x:c>
      <x:c r="BH84" s="95" t="str">
        <x:f t="shared" si="28"/>
        <x:v/>
      </x:c>
      <x:c r="BI84" s="95" t="str">
        <x:f t="shared" si="29"/>
        <x:v/>
      </x:c>
      <x:c r="BJ84" s="95" t="str">
        <x:f t="shared" si="30"/>
        <x:v/>
      </x:c>
      <x:c r="BK84" s="95" t="str">
        <x:f t="shared" si="31"/>
        <x:v/>
      </x:c>
      <x:c r="BL84" s="95" t="str">
        <x:f t="shared" si="32"/>
        <x:v/>
      </x:c>
      <x:c r="BM84" s="95" t="str">
        <x:f t="shared" si="33"/>
        <x:v/>
      </x:c>
      <x:c r="BN84" s="95" t="str">
        <x:f t="shared" si="34"/>
        <x:v/>
      </x:c>
      <x:c r="BO84" s="95" t="str">
        <x:f t="shared" si="35"/>
        <x:v/>
      </x:c>
      <x:c r="BP84" s="95" t="str">
        <x:f t="shared" si="36"/>
        <x:v/>
      </x:c>
      <x:c r="BQ84" s="95" t="str">
        <x:f t="shared" si="37"/>
        <x:v/>
      </x:c>
      <x:c r="BR84" s="95" t="str">
        <x:f t="shared" si="38"/>
        <x:v/>
      </x:c>
      <x:c r="BS84" s="95" t="str">
        <x:f t="shared" si="39"/>
        <x:v/>
      </x:c>
      <x:c r="BT84" s="95" t="str">
        <x:f t="shared" si="40"/>
        <x:v/>
      </x:c>
      <x:c r="BU84" s="94" t="str">
        <x:f t="shared" si="41"/>
        <x:v/>
      </x:c>
      <x:c r="BV84" s="184" t="str">
        <x:f t="shared" si="49"/>
        <x:v/>
      </x:c>
      <x:c r="BW84" s="95" t="s">
        <x:v>173</x:v>
      </x:c>
      <x:c r="BX84" s="95">
        <x:f>BR66</x:f>
        <x:v>0</x:v>
      </x:c>
    </x:row>
    <x:row r="85" spans="1:76" s="25" customFormat="1" ht="15.6" x14ac:dyDescent="0.3">
      <x:c r="A85" s="89"/>
      <x:c r="B85" s="264">
        <x:v>18</x:v>
      </x:c>
      <x:c r="C85" s="119" t="str">
        <x:f t="shared" si="11"/>
        <x:v/>
      </x:c>
      <x:c r="D85" s="208" t="str">
        <x:f t="shared" si="42"/>
        <x:v/>
      </x:c>
      <x:c r="E85" s="166" t="str">
        <x:f t="shared" si="12"/>
        <x:v/>
      </x:c>
      <x:c r="F85" s="670"/>
      <x:c r="G85" s="671"/>
      <x:c r="H85" s="163" t="str">
        <x:f t="shared" si="13"/>
        <x:v/>
      </x:c>
      <x:c r="I85" s="321" t="str">
        <x:f t="shared" si="43"/>
        <x:v/>
      </x:c>
      <x:c r="J85" s="676" t="str">
        <x:f>IFERROR(IF(F85="","",VLOOKUP(F85,'10. Condition and Temporal'!$B$6:$F$103,5,FALSE)), "Error ▲")</x:f>
        <x:v/>
      </x:c>
      <x:c r="K85" s="677"/>
      <x:c r="L85" s="283" t="str">
        <x:f t="shared" si="44"/>
        <x:v/>
      </x:c>
      <x:c r="M85" s="686" t="str">
        <x:f t="shared" si="45"/>
        <x:v/>
      </x:c>
      <x:c r="N85" s="687"/>
      <x:c r="O85" s="74"/>
      <x:c r="P85" s="12"/>
      <x:c r="R85" s="652"/>
      <x:c r="T85" s="177" t="str">
        <x:f t="shared" si="14"/>
        <x:v/>
      </x:c>
      <x:c r="U85" s="114" t="str">
        <x:f t="shared" si="46"/>
        <x:v/>
      </x:c>
      <x:c r="V85" s="94" t="str">
        <x:f t="shared" si="15"/>
        <x:v/>
      </x:c>
      <x:c r="W85" s="93" t="str">
        <x:f t="shared" si="15"/>
        <x:v/>
      </x:c>
      <x:c r="X85" s="94" t="str">
        <x:f t="shared" si="15"/>
        <x:v/>
      </x:c>
      <x:c r="Y85" s="372"/>
      <x:c r="Z85" s="343"/>
      <x:c r="AA85" s="507"/>
      <x:c r="AB85" s="93" t="str">
        <x:f t="shared" si="16"/>
        <x:v/>
      </x:c>
      <x:c r="AC85" s="115" t="str">
        <x:f t="shared" si="17"/>
        <x:v/>
      </x:c>
      <x:c r="AD85" s="177" t="str">
        <x:f t="shared" si="50"/>
        <x:v/>
      </x:c>
      <x:c r="AE85" s="177" t="str">
        <x:f t="shared" si="47"/>
        <x:v/>
      </x:c>
      <x:c r="AF85" s="511" t="str">
        <x:f t="shared" si="18"/>
        <x:v/>
      </x:c>
      <x:c r="AG85" s="114" t="str">
        <x:f>IF(D85="","",VLOOKUP(F85,'9. All Habitats + Multipliers'!$C$4:$K$102,5,FALSE))</x:f>
        <x:v/>
      </x:c>
      <x:c r="AH85" s="344" t="str">
        <x:f>IF(AG85="","",VLOOKUP(AG85,'11. Lists'!$B$47:$D$49,2,FALSE))</x:f>
        <x:v/>
      </x:c>
      <x:c r="AI85" s="93" t="str">
        <x:f t="shared" si="19"/>
        <x:v/>
      </x:c>
      <x:c r="AJ85" s="94" t="str">
        <x:f>IF(AI85="","",VLOOKUP(AI85,'11. Lists'!$F$47:$G$51,2,FALSE))</x:f>
        <x:v/>
      </x:c>
      <x:c r="AK85" s="372"/>
      <x:c r="AL85" s="343"/>
      <x:c r="AM85" s="507"/>
      <x:c r="AN85" s="93" t="str">
        <x:f t="shared" si="20"/>
        <x:v/>
      </x:c>
      <x:c r="AO85" s="95" t="str">
        <x:f>IF(AN85="","",VLOOKUP(AN85,'11. Lists'!$F$36:$H$38,2,FALSE))</x:f>
        <x:v/>
      </x:c>
      <x:c r="AP85" s="94" t="str">
        <x:f>IF(AN85="","",VLOOKUP(AN85,'11. Lists'!$F$36:$H$38,3,FALSE))</x:f>
        <x:v/>
      </x:c>
      <x:c r="AQ85" s="114" t="str">
        <x:f>IF(D85="","",IF(AX85="Distinctiveness","N/A",VLOOKUP(F85,'10. Condition and Temporal'!$B$6:$L$103,11,FALSE)))</x:f>
        <x:v/>
      </x:c>
      <x:c r="AR85" s="118" t="str">
        <x:f>IF(AQ85="","",IF(AQ85="N/A","1",VLOOKUP(AQ85,'11. Lists'!$I$47:$K$80,3,FALSE)))</x:f>
        <x:v/>
      </x:c>
      <x:c r="AS85" s="524" t="str">
        <x:f>IF(D85="","",IF(AX85="Condition","N/A",VLOOKUP(F85,'10. Condition and Temporal'!$B$6:$M$106,12,FALSE)))</x:f>
        <x:v/>
      </x:c>
      <x:c r="AT85" s="118" t="str">
        <x:f>IF(AS85="","",IF(AS85="N/A","1",VLOOKUP(AS85,'11. Lists'!$I$47:$K$80,3,FALSE)))</x:f>
        <x:v/>
      </x:c>
      <x:c r="AU85" s="114" t="str">
        <x:f>IF(D85="","",VLOOKUP(F85,'9. All Habitats + Multipliers'!$C$4:$K$102,8,FALSE))</x:f>
        <x:v/>
      </x:c>
      <x:c r="AV85" s="115" t="str">
        <x:f>IF(AU85="","",VLOOKUP(AU85,'11. Lists'!$J$35:$K$38,2,FALSE))</x:f>
        <x:v/>
      </x:c>
      <x:c r="AW85" s="177" t="str">
        <x:f>IF(D85="","",VLOOKUP(D85,'10. Condition and Temporal'!$B$6:$M$103,4,FALSE))</x:f>
        <x:v/>
      </x:c>
      <x:c r="AX85" s="177" t="str">
        <x:f t="shared" si="21"/>
        <x:v/>
      </x:c>
      <x:c r="AY85" s="463" t="str">
        <x:f t="shared" si="48"/>
        <x:v/>
      </x:c>
      <x:c r="BA85" s="93">
        <x:v>18</x:v>
      </x:c>
      <x:c r="BB85" s="95" t="str">
        <x:f t="shared" si="22"/>
        <x:v/>
      </x:c>
      <x:c r="BC85" s="95" t="str">
        <x:f t="shared" si="23"/>
        <x:v/>
      </x:c>
      <x:c r="BD85" s="95" t="str">
        <x:f t="shared" si="24"/>
        <x:v/>
      </x:c>
      <x:c r="BE85" s="95" t="str">
        <x:f t="shared" si="25"/>
        <x:v/>
      </x:c>
      <x:c r="BF85" s="95" t="str">
        <x:f t="shared" si="26"/>
        <x:v/>
      </x:c>
      <x:c r="BG85" s="95" t="str">
        <x:f t="shared" si="27"/>
        <x:v/>
      </x:c>
      <x:c r="BH85" s="95" t="str">
        <x:f t="shared" si="28"/>
        <x:v/>
      </x:c>
      <x:c r="BI85" s="95" t="str">
        <x:f t="shared" si="29"/>
        <x:v/>
      </x:c>
      <x:c r="BJ85" s="95" t="str">
        <x:f t="shared" si="30"/>
        <x:v/>
      </x:c>
      <x:c r="BK85" s="95" t="str">
        <x:f t="shared" si="31"/>
        <x:v/>
      </x:c>
      <x:c r="BL85" s="95" t="str">
        <x:f t="shared" si="32"/>
        <x:v/>
      </x:c>
      <x:c r="BM85" s="95" t="str">
        <x:f t="shared" si="33"/>
        <x:v/>
      </x:c>
      <x:c r="BN85" s="95" t="str">
        <x:f t="shared" si="34"/>
        <x:v/>
      </x:c>
      <x:c r="BO85" s="95" t="str">
        <x:f t="shared" si="35"/>
        <x:v/>
      </x:c>
      <x:c r="BP85" s="95" t="str">
        <x:f t="shared" si="36"/>
        <x:v/>
      </x:c>
      <x:c r="BQ85" s="95" t="str">
        <x:f t="shared" si="37"/>
        <x:v/>
      </x:c>
      <x:c r="BR85" s="95" t="str">
        <x:f t="shared" si="38"/>
        <x:v/>
      </x:c>
      <x:c r="BS85" s="95" t="str">
        <x:f t="shared" si="39"/>
        <x:v/>
      </x:c>
      <x:c r="BT85" s="95" t="str">
        <x:f t="shared" si="40"/>
        <x:v/>
      </x:c>
      <x:c r="BU85" s="94" t="str">
        <x:f t="shared" si="41"/>
        <x:v/>
      </x:c>
      <x:c r="BV85" s="184" t="str">
        <x:f t="shared" si="49"/>
        <x:v/>
      </x:c>
      <x:c r="BW85" s="95" t="s">
        <x:v>174</x:v>
      </x:c>
      <x:c r="BX85" s="95">
        <x:f>BS66</x:f>
        <x:v>0</x:v>
      </x:c>
    </x:row>
    <x:row r="86" spans="1:76" s="25" customFormat="1" ht="15.6" x14ac:dyDescent="0.3">
      <x:c r="A86" s="89"/>
      <x:c r="B86" s="264">
        <x:v>19</x:v>
      </x:c>
      <x:c r="C86" s="119" t="str">
        <x:f t="shared" si="11"/>
        <x:v/>
      </x:c>
      <x:c r="D86" s="208" t="str">
        <x:f t="shared" si="42"/>
        <x:v/>
      </x:c>
      <x:c r="E86" s="166" t="str">
        <x:f t="shared" si="12"/>
        <x:v/>
      </x:c>
      <x:c r="F86" s="670"/>
      <x:c r="G86" s="671"/>
      <x:c r="H86" s="163" t="str">
        <x:f t="shared" si="13"/>
        <x:v/>
      </x:c>
      <x:c r="I86" s="321" t="str">
        <x:f t="shared" si="43"/>
        <x:v/>
      </x:c>
      <x:c r="J86" s="676" t="str">
        <x:f>IFERROR(IF(F86="","",VLOOKUP(F86,'10. Condition and Temporal'!$B$6:$F$103,5,FALSE)), "Error ▲")</x:f>
        <x:v/>
      </x:c>
      <x:c r="K86" s="677"/>
      <x:c r="L86" s="283" t="str">
        <x:f t="shared" si="44"/>
        <x:v/>
      </x:c>
      <x:c r="M86" s="686" t="str">
        <x:f t="shared" si="45"/>
        <x:v/>
      </x:c>
      <x:c r="N86" s="687"/>
      <x:c r="O86" s="74"/>
      <x:c r="P86" s="12"/>
      <x:c r="R86" s="652"/>
      <x:c r="T86" s="177" t="str">
        <x:f t="shared" si="14"/>
        <x:v/>
      </x:c>
      <x:c r="U86" s="114" t="str">
        <x:f t="shared" si="46"/>
        <x:v/>
      </x:c>
      <x:c r="V86" s="94" t="str">
        <x:f t="shared" si="15"/>
        <x:v/>
      </x:c>
      <x:c r="W86" s="93" t="str">
        <x:f t="shared" si="15"/>
        <x:v/>
      </x:c>
      <x:c r="X86" s="94" t="str">
        <x:f t="shared" si="15"/>
        <x:v/>
      </x:c>
      <x:c r="Y86" s="372"/>
      <x:c r="Z86" s="343"/>
      <x:c r="AA86" s="507"/>
      <x:c r="AB86" s="93" t="str">
        <x:f t="shared" si="16"/>
        <x:v/>
      </x:c>
      <x:c r="AC86" s="115" t="str">
        <x:f t="shared" si="17"/>
        <x:v/>
      </x:c>
      <x:c r="AD86" s="177" t="str">
        <x:f t="shared" si="50"/>
        <x:v/>
      </x:c>
      <x:c r="AE86" s="177" t="str">
        <x:f t="shared" si="47"/>
        <x:v/>
      </x:c>
      <x:c r="AF86" s="511" t="str">
        <x:f t="shared" si="18"/>
        <x:v/>
      </x:c>
      <x:c r="AG86" s="114" t="str">
        <x:f>IF(D86="","",VLOOKUP(F86,'9. All Habitats + Multipliers'!$C$4:$K$102,5,FALSE))</x:f>
        <x:v/>
      </x:c>
      <x:c r="AH86" s="344" t="str">
        <x:f>IF(AG86="","",VLOOKUP(AG86,'11. Lists'!$B$47:$D$49,2,FALSE))</x:f>
        <x:v/>
      </x:c>
      <x:c r="AI86" s="93" t="str">
        <x:f t="shared" si="19"/>
        <x:v/>
      </x:c>
      <x:c r="AJ86" s="94" t="str">
        <x:f>IF(AI86="","",VLOOKUP(AI86,'11. Lists'!$F$47:$G$51,2,FALSE))</x:f>
        <x:v/>
      </x:c>
      <x:c r="AK86" s="372"/>
      <x:c r="AL86" s="343"/>
      <x:c r="AM86" s="507"/>
      <x:c r="AN86" s="93" t="str">
        <x:f t="shared" si="20"/>
        <x:v/>
      </x:c>
      <x:c r="AO86" s="95" t="str">
        <x:f>IF(AN86="","",VLOOKUP(AN86,'11. Lists'!$F$36:$H$38,2,FALSE))</x:f>
        <x:v/>
      </x:c>
      <x:c r="AP86" s="94" t="str">
        <x:f>IF(AN86="","",VLOOKUP(AN86,'11. Lists'!$F$36:$H$38,3,FALSE))</x:f>
        <x:v/>
      </x:c>
      <x:c r="AQ86" s="114" t="str">
        <x:f>IF(D86="","",IF(AX86="Distinctiveness","N/A",VLOOKUP(F86,'10. Condition and Temporal'!$B$6:$L$103,11,FALSE)))</x:f>
        <x:v/>
      </x:c>
      <x:c r="AR86" s="118" t="str">
        <x:f>IF(AQ86="","",IF(AQ86="N/A","1",VLOOKUP(AQ86,'11. Lists'!$I$47:$K$80,3,FALSE)))</x:f>
        <x:v/>
      </x:c>
      <x:c r="AS86" s="524" t="str">
        <x:f>IF(D86="","",IF(AX86="Condition","N/A",VLOOKUP(F86,'10. Condition and Temporal'!$B$6:$M$106,12,FALSE)))</x:f>
        <x:v/>
      </x:c>
      <x:c r="AT86" s="118" t="str">
        <x:f>IF(AS86="","",IF(AS86="N/A","1",VLOOKUP(AS86,'11. Lists'!$I$47:$K$80,3,FALSE)))</x:f>
        <x:v/>
      </x:c>
      <x:c r="AU86" s="114" t="str">
        <x:f>IF(D86="","",VLOOKUP(F86,'9. All Habitats + Multipliers'!$C$4:$K$102,8,FALSE))</x:f>
        <x:v/>
      </x:c>
      <x:c r="AV86" s="115" t="str">
        <x:f>IF(AU86="","",VLOOKUP(AU86,'11. Lists'!$J$35:$K$38,2,FALSE))</x:f>
        <x:v/>
      </x:c>
      <x:c r="AW86" s="177" t="str">
        <x:f>IF(D86="","",VLOOKUP(D86,'10. Condition and Temporal'!$B$6:$M$103,4,FALSE))</x:f>
        <x:v/>
      </x:c>
      <x:c r="AX86" s="177" t="str">
        <x:f t="shared" si="21"/>
        <x:v/>
      </x:c>
      <x:c r="AY86" s="463" t="str">
        <x:f t="shared" si="48"/>
        <x:v/>
      </x:c>
      <x:c r="BA86" s="93">
        <x:v>19</x:v>
      </x:c>
      <x:c r="BB86" s="95" t="str">
        <x:f t="shared" si="22"/>
        <x:v/>
      </x:c>
      <x:c r="BC86" s="95" t="str">
        <x:f t="shared" si="23"/>
        <x:v/>
      </x:c>
      <x:c r="BD86" s="95" t="str">
        <x:f t="shared" si="24"/>
        <x:v/>
      </x:c>
      <x:c r="BE86" s="95" t="str">
        <x:f t="shared" si="25"/>
        <x:v/>
      </x:c>
      <x:c r="BF86" s="95" t="str">
        <x:f t="shared" si="26"/>
        <x:v/>
      </x:c>
      <x:c r="BG86" s="95" t="str">
        <x:f t="shared" si="27"/>
        <x:v/>
      </x:c>
      <x:c r="BH86" s="95" t="str">
        <x:f t="shared" si="28"/>
        <x:v/>
      </x:c>
      <x:c r="BI86" s="95" t="str">
        <x:f t="shared" si="29"/>
        <x:v/>
      </x:c>
      <x:c r="BJ86" s="95" t="str">
        <x:f t="shared" si="30"/>
        <x:v/>
      </x:c>
      <x:c r="BK86" s="95" t="str">
        <x:f t="shared" si="31"/>
        <x:v/>
      </x:c>
      <x:c r="BL86" s="95" t="str">
        <x:f t="shared" si="32"/>
        <x:v/>
      </x:c>
      <x:c r="BM86" s="95" t="str">
        <x:f t="shared" si="33"/>
        <x:v/>
      </x:c>
      <x:c r="BN86" s="95" t="str">
        <x:f t="shared" si="34"/>
        <x:v/>
      </x:c>
      <x:c r="BO86" s="95" t="str">
        <x:f t="shared" si="35"/>
        <x:v/>
      </x:c>
      <x:c r="BP86" s="95" t="str">
        <x:f t="shared" si="36"/>
        <x:v/>
      </x:c>
      <x:c r="BQ86" s="95" t="str">
        <x:f t="shared" si="37"/>
        <x:v/>
      </x:c>
      <x:c r="BR86" s="95" t="str">
        <x:f t="shared" si="38"/>
        <x:v/>
      </x:c>
      <x:c r="BS86" s="95" t="str">
        <x:f t="shared" si="39"/>
        <x:v/>
      </x:c>
      <x:c r="BT86" s="95" t="str">
        <x:f t="shared" si="40"/>
        <x:v/>
      </x:c>
      <x:c r="BU86" s="94" t="str">
        <x:f t="shared" si="41"/>
        <x:v/>
      </x:c>
      <x:c r="BV86" s="184" t="str">
        <x:f t="shared" si="49"/>
        <x:v/>
      </x:c>
      <x:c r="BW86" s="95" t="s">
        <x:v>175</x:v>
      </x:c>
      <x:c r="BX86" s="95">
        <x:f>BT66</x:f>
        <x:v>0</x:v>
      </x:c>
    </x:row>
    <x:row r="87" spans="1:76" s="25" customFormat="1" ht="16.2" thickBot="1" x14ac:dyDescent="0.35">
      <x:c r="A87" s="89"/>
      <x:c r="B87" s="265">
        <x:v>20</x:v>
      </x:c>
      <x:c r="C87" s="138" t="str">
        <x:f t="shared" si="11"/>
        <x:v/>
      </x:c>
      <x:c r="D87" s="420" t="str">
        <x:f t="shared" si="42"/>
        <x:v/>
      </x:c>
      <x:c r="E87" s="167" t="str">
        <x:f t="shared" si="12"/>
        <x:v/>
      </x:c>
      <x:c r="F87" s="674"/>
      <x:c r="G87" s="675"/>
      <x:c r="H87" s="164" t="str">
        <x:f t="shared" si="13"/>
        <x:v/>
      </x:c>
      <x:c r="I87" s="427" t="str">
        <x:f t="shared" si="43"/>
        <x:v/>
      </x:c>
      <x:c r="J87" s="703" t="str">
        <x:f>IFERROR(IF(F87="","",VLOOKUP(F87,'10. Condition and Temporal'!$B$6:$F$103,5,FALSE)), "Error ▲")</x:f>
        <x:v/>
      </x:c>
      <x:c r="K87" s="704"/>
      <x:c r="L87" s="422" t="str">
        <x:f t="shared" si="44"/>
        <x:v/>
      </x:c>
      <x:c r="M87" s="696" t="str">
        <x:f t="shared" si="45"/>
        <x:v/>
      </x:c>
      <x:c r="N87" s="697"/>
      <x:c r="O87" s="75"/>
      <x:c r="P87" s="14"/>
      <x:c r="R87" s="652"/>
      <x:c r="T87" s="178" t="str">
        <x:f t="shared" si="14"/>
        <x:v/>
      </x:c>
      <x:c r="U87" s="503" t="str">
        <x:f t="shared" si="46"/>
        <x:v/>
      </x:c>
      <x:c r="V87" s="99" t="str">
        <x:f t="shared" si="15"/>
        <x:v/>
      </x:c>
      <x:c r="W87" s="98" t="str">
        <x:f t="shared" si="15"/>
        <x:v/>
      </x:c>
      <x:c r="X87" s="99" t="str">
        <x:f t="shared" si="15"/>
        <x:v/>
      </x:c>
      <x:c r="Y87" s="504"/>
      <x:c r="Z87" s="347"/>
      <x:c r="AA87" s="508"/>
      <x:c r="AB87" s="98" t="str">
        <x:f t="shared" si="16"/>
        <x:v/>
      </x:c>
      <x:c r="AC87" s="509" t="str">
        <x:f t="shared" si="17"/>
        <x:v/>
      </x:c>
      <x:c r="AD87" s="178" t="str">
        <x:f t="shared" si="50"/>
        <x:v/>
      </x:c>
      <x:c r="AE87" s="178" t="str">
        <x:f t="shared" si="47"/>
        <x:v/>
      </x:c>
      <x:c r="AF87" s="512" t="str">
        <x:f t="shared" si="18"/>
        <x:v/>
      </x:c>
      <x:c r="AG87" s="503" t="str">
        <x:f>IF(D87="","",VLOOKUP(F87,'9. All Habitats + Multipliers'!$C$4:$K$102,5,FALSE))</x:f>
        <x:v/>
      </x:c>
      <x:c r="AH87" s="476" t="str">
        <x:f>IF(AG87="","",VLOOKUP(AG87,'11. Lists'!$B$47:$D$49,2,FALSE))</x:f>
        <x:v/>
      </x:c>
      <x:c r="AI87" s="98" t="str">
        <x:f t="shared" si="19"/>
        <x:v/>
      </x:c>
      <x:c r="AJ87" s="99" t="str">
        <x:f>IF(AI87="","",VLOOKUP(AI87,'11. Lists'!$F$47:$G$51,2,FALSE))</x:f>
        <x:v/>
      </x:c>
      <x:c r="AK87" s="372"/>
      <x:c r="AL87" s="343"/>
      <x:c r="AM87" s="507"/>
      <x:c r="AN87" s="98" t="str">
        <x:f t="shared" si="20"/>
        <x:v/>
      </x:c>
      <x:c r="AO87" s="100" t="str">
        <x:f>IF(AN87="","",VLOOKUP(AN87,'11. Lists'!$F$36:$H$38,2,FALSE))</x:f>
        <x:v/>
      </x:c>
      <x:c r="AP87" s="99" t="str">
        <x:f>IF(AN87="","",VLOOKUP(AN87,'11. Lists'!$F$36:$H$38,3,FALSE))</x:f>
        <x:v/>
      </x:c>
      <x:c r="AQ87" s="503" t="str">
        <x:f>IF(D87="","",IF(AX87="Distinctiveness","N/A",VLOOKUP(F87,'10. Condition and Temporal'!$B$6:$L$103,11,FALSE)))</x:f>
        <x:v/>
      </x:c>
      <x:c r="AR87" s="521" t="str">
        <x:f>IF(AQ87="","",IF(AQ87="N/A","1",VLOOKUP(AQ87,'11. Lists'!$I$47:$K$80,3,FALSE)))</x:f>
        <x:v/>
      </x:c>
      <x:c r="AS87" s="525" t="str">
        <x:f>IF(D87="","",IF(AX87="Condition","N/A",VLOOKUP(F87,'10. Condition and Temporal'!$B$6:$M$106,12,FALSE)))</x:f>
        <x:v/>
      </x:c>
      <x:c r="AT87" s="521" t="str">
        <x:f>IF(AS87="","",IF(AS87="N/A","1",VLOOKUP(AS87,'11. Lists'!$I$47:$K$80,3,FALSE)))</x:f>
        <x:v/>
      </x:c>
      <x:c r="AU87" s="503" t="str">
        <x:f>IF(D87="","",VLOOKUP(F87,'9. All Habitats + Multipliers'!$C$4:$K$102,8,FALSE))</x:f>
        <x:v/>
      </x:c>
      <x:c r="AV87" s="509" t="str">
        <x:f>IF(AU87="","",VLOOKUP(AU87,'11. Lists'!$J$35:$K$38,2,FALSE))</x:f>
        <x:v/>
      </x:c>
      <x:c r="AW87" s="178" t="str">
        <x:f>IF(D87="","",VLOOKUP(D87,'10. Condition and Temporal'!$B$6:$M$103,4,FALSE))</x:f>
        <x:v/>
      </x:c>
      <x:c r="AX87" s="178" t="str">
        <x:f t="shared" si="21"/>
        <x:v/>
      </x:c>
      <x:c r="AY87" s="464" t="str">
        <x:f t="shared" si="48"/>
        <x:v/>
      </x:c>
      <x:c r="BA87" s="98">
        <x:v>20</x:v>
      </x:c>
      <x:c r="BB87" s="100" t="str">
        <x:f t="shared" si="22"/>
        <x:v/>
      </x:c>
      <x:c r="BC87" s="100" t="str">
        <x:f t="shared" si="23"/>
        <x:v/>
      </x:c>
      <x:c r="BD87" s="100" t="str">
        <x:f t="shared" si="24"/>
        <x:v/>
      </x:c>
      <x:c r="BE87" s="100" t="str">
        <x:f t="shared" si="25"/>
        <x:v/>
      </x:c>
      <x:c r="BF87" s="100" t="str">
        <x:f t="shared" si="26"/>
        <x:v/>
      </x:c>
      <x:c r="BG87" s="100" t="str">
        <x:f t="shared" si="27"/>
        <x:v/>
      </x:c>
      <x:c r="BH87" s="100" t="str">
        <x:f t="shared" si="28"/>
        <x:v/>
      </x:c>
      <x:c r="BI87" s="100" t="str">
        <x:f t="shared" si="29"/>
        <x:v/>
      </x:c>
      <x:c r="BJ87" s="100" t="str">
        <x:f t="shared" si="30"/>
        <x:v/>
      </x:c>
      <x:c r="BK87" s="100" t="str">
        <x:f t="shared" si="31"/>
        <x:v/>
      </x:c>
      <x:c r="BL87" s="100" t="str">
        <x:f t="shared" si="32"/>
        <x:v/>
      </x:c>
      <x:c r="BM87" s="100" t="str">
        <x:f t="shared" si="33"/>
        <x:v/>
      </x:c>
      <x:c r="BN87" s="100" t="str">
        <x:f t="shared" si="34"/>
        <x:v/>
      </x:c>
      <x:c r="BO87" s="100" t="str">
        <x:f t="shared" si="35"/>
        <x:v/>
      </x:c>
      <x:c r="BP87" s="100" t="str">
        <x:f t="shared" si="36"/>
        <x:v/>
      </x:c>
      <x:c r="BQ87" s="100" t="str">
        <x:f t="shared" si="37"/>
        <x:v/>
      </x:c>
      <x:c r="BR87" s="100" t="str">
        <x:f t="shared" si="38"/>
        <x:v/>
      </x:c>
      <x:c r="BS87" s="100" t="str">
        <x:f t="shared" si="39"/>
        <x:v/>
      </x:c>
      <x:c r="BT87" s="100" t="str">
        <x:f t="shared" si="40"/>
        <x:v/>
      </x:c>
      <x:c r="BU87" s="99" t="str">
        <x:f t="shared" si="41"/>
        <x:v/>
      </x:c>
      <x:c r="BV87" s="184" t="str">
        <x:f t="shared" si="49"/>
        <x:v/>
      </x:c>
      <x:c r="BW87" s="95" t="s">
        <x:v>176</x:v>
      </x:c>
      <x:c r="BX87" s="95">
        <x:f>BU66</x:f>
        <x:v>0</x:v>
      </x:c>
    </x:row>
    <x:row r="88" spans="1:76" s="25" customFormat="1" ht="32.549999999999997" hidden="1" customHeight="1" thickBot="1" x14ac:dyDescent="0.35">
      <x:c r="A88" s="89"/>
      <x:c r="B88" s="267" t="s">
        <x:v>92</x:v>
      </x:c>
      <x:c r="C88" s="97" t="inlineStr">
        <x:v/>
        <x:is>
          <x:t xml:space="preserve">Individual trees</x:t>
        </x:is>
      </x:c>
      <x:c r="D88" s="402" t="inlineStr">
        <x:v/>
        <x:is>
          <x:t xml:space="preserve">Urban/rural tree</x:t>
        </x:is>
      </x:c>
      <x:c r="E88" s="97" t="str">
        <x:f t="shared" si="12"/>
        <x:v>Condition</x:v>
      </x:c>
      <x:c r="F88" s="672" t="s">
        <x:v>94</x:v>
      </x:c>
      <x:c r="G88" s="673"/>
      <x:c r="H88" s="403" t="s">
        <x:v>115</x:v>
      </x:c>
      <x:c r="I88" s="404">
        <x:v>0</x:v>
      </x:c>
      <x:c r="J88" s="836" t="str">
        <x:f>IF(F88="","",VLOOKUP(F88,'10. Condition and Temporal'!$B$6:$F$103,5,FALSE))</x:f>
        <x:v>Good</x:v>
      </x:c>
      <x:c r="K88" s="837"/>
      <x:c r="L88" s="405">
        <x:f t="shared" ref="L88" si="51">IFERROR(IF(D88="","",IF(AX88="Distinctiveness",(((((I88*AH88*AJ88)-(I88*V88*X88))*(AV88*AT88))+(I88*V88*X88))*(AP88))/10000,((((I88*AJ88*AH88)-(I88*V88*X88))*(AV88*AR88))+(I88*V88*X88))*AP88/10000)),"This intervention is not permitted within the SSM ▲")</x:f>
        <x:v>0</x:v>
      </x:c>
      <x:c r="M88" s="694">
        <x:f>L88-AD88</x:f>
        <x:v>0</x:v>
      </x:c>
      <x:c r="N88" s="695"/>
      <x:c r="O88" s="406"/>
      <x:c r="P88" s="39"/>
      <x:c r="R88" s="652"/>
      <x:c r="T88" s="170">
        <x:f t="shared" si="14"/>
        <x:v>0</x:v>
      </x:c>
      <x:c r="U88" s="171" t="str">
        <x:f>IF($D88="","",T31)</x:f>
        <x:v>Medium</x:v>
      </x:c>
      <x:c r="V88" s="349">
        <x:f t="shared" si="15"/>
        <x:v>4</x:v>
      </x:c>
      <x:c r="W88" s="171" t="str">
        <x:f t="shared" si="15"/>
        <x:v>Moderate</x:v>
      </x:c>
      <x:c r="X88" s="173">
        <x:f t="shared" si="15"/>
        <x:v>2</x:v>
      </x:c>
      <x:c r="Y88" s="348"/>
      <x:c r="Z88" s="348"/>
      <x:c r="AA88" s="348"/>
      <x:c r="AB88" s="173" t="str">
        <x:f t="shared" si="16"/>
        <x:v>Formally identified in local strategy</x:v>
      </x:c>
      <x:c r="AC88" s="173">
        <x:f t="shared" si="17"/>
        <x:v>1.1499999999999999</x:v>
      </x:c>
      <x:c r="AD88" s="172">
        <x:f t="shared" ref="AD88" si="52">IF(AC88="","",(T88*V88*X88)*(AA88*AC88)/10000)</x:f>
        <x:v>0</x:v>
      </x:c>
      <x:c r="AE88" s="180" t="str">
        <x:f>IF(AD88="","",IF(AH88&lt;V88,"Not Acceptable","Acceptable"))</x:f>
        <x:v>Acceptable</x:v>
      </x:c>
      <x:c r="AF88" s="170">
        <x:f t="shared" si="18"/>
        <x:v>0</x:v>
      </x:c>
      <x:c r="AG88" s="171" t="str">
        <x:f>IF(D88="","",VLOOKUP(F88,'9. All Habitats + Multipliers'!$C$4:$K$102,5,FALSE))</x:f>
        <x:v>Medium</x:v>
      </x:c>
      <x:c r="AH88" s="172">
        <x:f>IF(AG88="","",VLOOKUP(AG88,'11. Lists'!$B$47:$D$49,2,FALSE))</x:f>
        <x:v>4</x:v>
      </x:c>
      <x:c r="AI88" s="514" t="str">
        <x:f t="shared" si="19"/>
        <x:v>Good</x:v>
      </x:c>
      <x:c r="AJ88" s="503">
        <x:f>IF(AI88="","",VLOOKUP(AI88,'11. Lists'!$F$47:$G$51,2,FALSE))</x:f>
        <x:v>3</x:v>
      </x:c>
      <x:c r="AK88" s="364"/>
      <x:c r="AL88" s="364"/>
      <x:c r="AM88" s="364"/>
      <x:c r="AN88" s="509" t="str">
        <x:f t="shared" si="20"/>
        <x:v>Area/compensation not in local strategy/ no local strategy</x:v>
      </x:c>
      <x:c r="AO88" s="517" t="str">
        <x:f>IF(AN88="","",VLOOKUP(AN88,'11. Lists'!$F$36:$H$38,2,FALSE))</x:f>
        <x:v>Low Strategic Significance</x:v>
      </x:c>
      <x:c r="AP88" s="509">
        <x:f>IF(AN88="","",VLOOKUP(AN88,'11. Lists'!$F$36:$H$38,3,FALSE))</x:f>
        <x:v>1</x:v>
      </x:c>
      <x:c r="AQ88" s="171">
        <x:f>IF(D88="","",VLOOKUP(F88,'10. Condition and Temporal'!$B$6:$L$103,11,FALSE))</x:f>
        <x:v>16</x:v>
      </x:c>
      <x:c r="AR88" s="175">
        <x:f>IF(AQ88="","",VLOOKUP(AQ88,'11. Lists'!$I$47:$K$80,3,FALSE))</x:f>
        <x:v>0.56550573479999999</x:v>
      </x:c>
      <x:c r="AS88" s="522" t="str">
        <x:f>IF(D88="","",VLOOKUP(F88,'10. Condition and Temporal'!$B$6:$M$106,12,FALSE))</x:f>
        <x:v>Not Possible</x:v>
      </x:c>
      <x:c r="AT88" s="118" t="str">
        <x:f>IF(AS88="","",IF(AS88="N/A","1",VLOOKUP(AS88,'11. Lists'!$I$47:$K$80,3,FALSE)))</x:f>
        <x:v>N/A</x:v>
      </x:c>
      <x:c r="AU88" s="174" t="str">
        <x:f>IF(D88="","",VLOOKUP(F88,'9. All Habitats + Multipliers'!$C$4:$K$102,8,FALSE))</x:f>
        <x:v>Low</x:v>
      </x:c>
      <x:c r="AV88" s="172">
        <x:f>IF(AU88="","",VLOOKUP(AU88,'11. Lists'!$J$35:$K$38,2,FALSE))</x:f>
        <x:v>1</x:v>
      </x:c>
      <x:c r="AW88" s="171" t="str">
        <x:f>IF(D88="","",VLOOKUP(D88,'10. Condition and Temporal'!$B$6:$M$103,4,FALSE))</x:f>
        <x:v>Urban/rural tree</x:v>
      </x:c>
      <x:c r="AX88" s="172" t="str">
        <x:f>IF(F88="","",IF(D88=F88,"Condition","Distinctivness"))</x:f>
        <x:v>Condition</x:v>
      </x:c>
      <x:c r="AY88" s="25" t="str">
        <x:f t="shared" ref="AY88" si="53">C88</x:f>
        <x:v>Individual trees</x:v>
      </x:c>
    </x:row>
    <x:row r="89" spans="1:76" s="25" customFormat="1" ht="15" thickBot="1" x14ac:dyDescent="0.35">
      <x:c r="H89" s="176" t="s">
        <x:v>96</x:v>
      </x:c>
      <x:c r="I89" s="318">
        <x:f>SUMIFS(I68:I87,F68:F87,"&lt;&gt;"&amp;'11. Lists'!Q10,F68:F87,"&lt;&gt;"&amp;'11. Lists'!Q11,F68:F87,"&lt;&gt;"&amp;'11. Lists'!I4,F68:F87,"&lt;&gt;"&amp;'11. Lists'!I2,F68:F87,"&lt;&gt;"&amp;'11. Lists'!I3)</x:f>
        <x:v>0</x:v>
      </x:c>
      <x:c r="J89" s="218"/>
      <x:c r="K89" s="216"/>
      <x:c r="L89" s="284">
        <x:f>SUM(L68:L88)</x:f>
        <x:v>0</x:v>
      </x:c>
      <x:c r="M89" s="698">
        <x:f>SUM(M68:N88)</x:f>
        <x:v>0</x:v>
      </x:c>
      <x:c r="N89" s="695"/>
      <x:c r="R89" s="652"/>
    </x:row>
    <x:row r="90" spans="1:76" s="25" customFormat="1" x14ac:dyDescent="0.3">
      <x:c r="C90" s="26"/>
      <x:c r="R90" s="652"/>
    </x:row>
    <x:row r="91" spans="1:76" s="25" customFormat="1" ht="21" x14ac:dyDescent="0.4">
      <x:c r="B91" s="57" t="s">
        <x:v>177</x:v>
      </x:c>
      <x:c r="R91" s="652"/>
    </x:row>
    <x:row r="92" spans="1:76" s="25" customFormat="1" ht="15" thickBot="1" x14ac:dyDescent="0.35">
      <x:c r="D92" s="88"/>
      <x:c r="R92" s="652"/>
    </x:row>
    <x:row r="93" spans="1:76" s="25" customFormat="1" ht="48" customHeight="1" x14ac:dyDescent="0.3">
      <x:c r="B93" s="755" t="s">
        <x:v>178</x:v>
      </x:c>
      <x:c r="C93" s="757"/>
      <x:c r="D93" s="841" t="s">
        <x:v>179</x:v>
      </x:c>
      <x:c r="E93" s="843" t="s">
        <x:v>180</x:v>
      </x:c>
      <x:c r="F93" s="844"/>
      <x:c r="G93" s="843" t="s">
        <x:v>181</x:v>
      </x:c>
      <x:c r="H93" s="757"/>
      <x:c r="I93" s="847" t="s">
        <x:v>182</x:v>
      </x:c>
      <x:c r="J93" s="848"/>
      <x:c r="K93" s="848"/>
      <x:c r="L93" s="848"/>
      <x:c r="M93" s="848"/>
      <x:c r="N93" s="848"/>
      <x:c r="O93" s="848"/>
      <x:c r="P93" s="849"/>
      <x:c r="R93" s="652"/>
    </x:row>
    <x:row r="94" spans="1:76" s="25" customFormat="1" ht="15.6" customHeight="1" thickBot="1" x14ac:dyDescent="0.35">
      <x:c r="B94" s="758"/>
      <x:c r="C94" s="760"/>
      <x:c r="D94" s="842"/>
      <x:c r="E94" s="845"/>
      <x:c r="F94" s="846"/>
      <x:c r="G94" s="845"/>
      <x:c r="H94" s="760"/>
      <x:c r="I94" s="735" t="s">
        <x:v>183</x:v>
      </x:c>
      <x:c r="J94" s="784"/>
      <x:c r="K94" s="769"/>
      <x:c r="L94" s="721" t="s">
        <x:v>184</x:v>
      </x:c>
      <x:c r="M94" s="784"/>
      <x:c r="N94" s="769"/>
      <x:c r="O94" s="721" t="s">
        <x:v>185</x:v>
      </x:c>
      <x:c r="P94" s="722"/>
      <x:c r="R94" s="652"/>
    </x:row>
    <x:row r="95" spans="1:76" s="25" customFormat="1" ht="23.1" customHeight="1" x14ac:dyDescent="0.3">
      <x:c r="B95" s="743" t="s">
        <x:v>186</x:v>
      </x:c>
      <x:c r="C95" s="744"/>
      <x:c r="D95" s="155" t="n">
        <x:v>1</x:v>
      </x:c>
      <x:c r="E95" s="701" t="n">
        <x:v>1</x:v>
      </x:c>
      <x:c r="F95" s="702"/>
      <x:c r="G95" s="850" t="n">
        <x:v>1</x:v>
      </x:c>
      <x:c r="H95" s="851"/>
      <x:c r="I95" s="691">
        <x:f>D95*'11. Lists'!P47</x:f>
        <x:v>0</x:v>
      </x:c>
      <x:c r="J95" s="692"/>
      <x:c r="K95" s="693"/>
      <x:c r="L95" s="655">
        <x:f>IF(E95&gt;D95, "Error ▲", E95*'11. Lists'!P47)</x:f>
        <x:v>0</x:v>
      </x:c>
      <x:c r="M95" s="692"/>
      <x:c r="N95" s="693"/>
      <x:c r="O95" s="655">
        <x:f>G95*'11. Lists'!P47</x:f>
        <x:v>0</x:v>
      </x:c>
      <x:c r="P95" s="656"/>
      <x:c r="R95" s="652"/>
    </x:row>
    <x:row r="96" spans="1:76" s="25" customFormat="1" ht="24.6" customHeight="1" x14ac:dyDescent="0.3">
      <x:c r="B96" s="741" t="s">
        <x:v>187</x:v>
      </x:c>
      <x:c r="C96" s="742"/>
      <x:c r="D96" s="213" t="n">
        <x:v>0</x:v>
      </x:c>
      <x:c r="E96" s="699" t="n">
        <x:v>0</x:v>
      </x:c>
      <x:c r="F96" s="700"/>
      <x:c r="G96" s="852" t="n">
        <x:v>0</x:v>
      </x:c>
      <x:c r="H96" s="853"/>
      <x:c r="I96" s="688">
        <x:f>D96*'11. Lists'!P48</x:f>
        <x:v>0</x:v>
      </x:c>
      <x:c r="J96" s="689"/>
      <x:c r="K96" s="690"/>
      <x:c r="L96" s="657">
        <x:f>IF(E96&gt;D96,"Error ▲",(E96*'11. Lists'!P48))</x:f>
        <x:v>0</x:v>
      </x:c>
      <x:c r="M96" s="689"/>
      <x:c r="N96" s="690"/>
      <x:c r="O96" s="657">
        <x:f>G96*'11. Lists'!P48</x:f>
        <x:v>0</x:v>
      </x:c>
      <x:c r="P96" s="658"/>
      <x:c r="R96" s="652"/>
    </x:row>
    <x:row r="97" spans="1:18" s="25" customFormat="1" ht="24.6" customHeight="1" x14ac:dyDescent="0.3">
      <x:c r="B97" s="741" t="s">
        <x:v>188</x:v>
      </x:c>
      <x:c r="C97" s="742"/>
      <x:c r="D97" s="213" t="n">
        <x:v>0</x:v>
      </x:c>
      <x:c r="E97" s="699" t="n">
        <x:v>0</x:v>
      </x:c>
      <x:c r="F97" s="700"/>
      <x:c r="G97" s="852" t="n">
        <x:v>0</x:v>
      </x:c>
      <x:c r="H97" s="853"/>
      <x:c r="I97" s="688">
        <x:f>D97*'11. Lists'!P49</x:f>
        <x:v>0</x:v>
      </x:c>
      <x:c r="J97" s="689"/>
      <x:c r="K97" s="690"/>
      <x:c r="L97" s="657">
        <x:f>IF(E97&gt;D97,"Error ▲",(E97*'11. Lists'!P49))</x:f>
        <x:v>0</x:v>
      </x:c>
      <x:c r="M97" s="689"/>
      <x:c r="N97" s="690"/>
      <x:c r="O97" s="657">
        <x:f>G97*'11. Lists'!P49</x:f>
        <x:v>0</x:v>
      </x:c>
      <x:c r="P97" s="658"/>
      <x:c r="R97" s="652"/>
    </x:row>
    <x:row r="98" spans="1:18" s="25" customFormat="1" ht="24.6" customHeight="1" x14ac:dyDescent="0.3">
      <x:c r="B98" s="741" t="s">
        <x:v>189</x:v>
      </x:c>
      <x:c r="C98" s="742"/>
      <x:c r="D98" s="213" t="n">
        <x:v>0</x:v>
      </x:c>
      <x:c r="E98" s="699" t="n">
        <x:v>0</x:v>
      </x:c>
      <x:c r="F98" s="700"/>
      <x:c r="G98" s="852" t="n">
        <x:v>0</x:v>
      </x:c>
      <x:c r="H98" s="853"/>
      <x:c r="I98" s="688">
        <x:f>D98*'11. Lists'!P50</x:f>
        <x:v>0</x:v>
      </x:c>
      <x:c r="J98" s="689"/>
      <x:c r="K98" s="690"/>
      <x:c r="L98" s="657">
        <x:f>IF(E98&gt;D98,"Error ▲",(E98*'11. Lists'!P50))</x:f>
        <x:v>0</x:v>
      </x:c>
      <x:c r="M98" s="689"/>
      <x:c r="N98" s="690"/>
      <x:c r="O98" s="657">
        <x:f>G98*'11. Lists'!P50</x:f>
        <x:v>0</x:v>
      </x:c>
      <x:c r="P98" s="658"/>
      <x:c r="R98" s="652"/>
    </x:row>
    <x:row r="99" spans="1:18" s="25" customFormat="1" ht="24.6" customHeight="1" thickBot="1" x14ac:dyDescent="0.35">
      <x:c r="B99" s="643" t="s">
        <x:v>190</x:v>
      </x:c>
      <x:c r="C99" s="736"/>
      <x:c r="D99" s="285" t="n">
        <x:f>SUM(D95:D98)</x:f>
        <x:v>1</x:v>
      </x:c>
      <x:c r="E99" s="653" t="n">
        <x:f>SUM(E95:F98)</x:f>
        <x:v>1</x:v>
      </x:c>
      <x:c r="F99" s="706"/>
      <x:c r="G99" s="653" t="n">
        <x:f>SUM(G95:H98)</x:f>
        <x:v>1</x:v>
      </x:c>
      <x:c r="H99" s="654"/>
      <x:c r="I99" s="706">
        <x:f>SUM(I95:K98)</x:f>
        <x:v>0</x:v>
      </x:c>
      <x:c r="J99" s="705"/>
      <x:c r="K99" s="705"/>
      <x:c r="L99" s="705">
        <x:f>SUM(L95:N98)</x:f>
        <x:v>0</x:v>
      </x:c>
      <x:c r="M99" s="705"/>
      <x:c r="N99" s="705"/>
      <x:c r="O99" s="653">
        <x:f>SUM(O95:P98)</x:f>
        <x:v>0</x:v>
      </x:c>
      <x:c r="P99" s="654"/>
      <x:c r="R99" s="652"/>
    </x:row>
    <x:row r="100" spans="1:18" s="25" customFormat="1" ht="19.2" customHeight="1" x14ac:dyDescent="0.3">
      <x:c r="E100" s="683" t="str">
        <x:f>IFERROR(IF(OR(E95&gt;D95, E96&gt;D96, E97&gt;D97, E98&gt;D98), "Error - trees retained and lost is greater than number of pre-development trees ▲", ""), "Error  ▲")</x:f>
        <x:v/>
      </x:c>
      <x:c r="F100" s="683"/>
      <x:c r="G100" s="683"/>
      <x:c r="R100" s="652"/>
    </x:row>
    <x:row r="101" spans="1:18" s="25" customFormat="1" x14ac:dyDescent="0.3">
      <x:c r="R101" s="652"/>
    </x:row>
    <x:row r="102" spans="1:18" s="25" customFormat="1" x14ac:dyDescent="0.3">
      <x:c r="A102" s="730" t="s">
        <x:v>191</x:v>
      </x:c>
      <x:c r="B102" s="730"/>
      <x:c r="C102" s="730"/>
      <x:c r="D102" s="730"/>
      <x:c r="E102" s="730"/>
      <x:c r="F102" s="730"/>
      <x:c r="G102" s="730"/>
      <x:c r="H102" s="730"/>
      <x:c r="I102" s="730"/>
      <x:c r="J102" s="730"/>
      <x:c r="K102" s="730"/>
      <x:c r="L102" s="730"/>
      <x:c r="M102" s="730"/>
      <x:c r="N102" s="730"/>
      <x:c r="O102" s="730"/>
      <x:c r="P102" s="730"/>
      <x:c r="Q102" s="730"/>
      <x:c r="R102" s="652"/>
    </x:row>
    <x:row r="103" spans="1:18" s="25" customFormat="1" x14ac:dyDescent="0.3">
      <x:c r="A103" s="730"/>
      <x:c r="B103" s="730"/>
      <x:c r="C103" s="730"/>
      <x:c r="D103" s="730"/>
      <x:c r="E103" s="730"/>
      <x:c r="F103" s="730"/>
      <x:c r="G103" s="730"/>
      <x:c r="H103" s="730"/>
      <x:c r="I103" s="730"/>
      <x:c r="J103" s="730"/>
      <x:c r="K103" s="730"/>
      <x:c r="L103" s="730"/>
      <x:c r="M103" s="730"/>
      <x:c r="N103" s="730"/>
      <x:c r="O103" s="730"/>
      <x:c r="P103" s="730"/>
      <x:c r="Q103" s="730"/>
      <x:c r="R103" s="652"/>
    </x:row>
    <x:row r="104" spans="1:18" s="25" customFormat="1" x14ac:dyDescent="0.3">
      <x:c r="A104" s="730"/>
      <x:c r="B104" s="730"/>
      <x:c r="C104" s="730"/>
      <x:c r="D104" s="730"/>
      <x:c r="E104" s="730"/>
      <x:c r="F104" s="730"/>
      <x:c r="G104" s="730"/>
      <x:c r="H104" s="730"/>
      <x:c r="I104" s="730"/>
      <x:c r="J104" s="730"/>
      <x:c r="K104" s="730"/>
      <x:c r="L104" s="730"/>
      <x:c r="M104" s="730"/>
      <x:c r="N104" s="730"/>
      <x:c r="O104" s="730"/>
      <x:c r="P104" s="730"/>
      <x:c r="Q104" s="730"/>
      <x:c r="R104" s="652"/>
    </x:row>
    <x:row r="105" spans="1:18" s="25" customFormat="1" x14ac:dyDescent="0.3">
      <x:c r="R105" s="652"/>
    </x:row>
    <x:row r="106" spans="1:18" s="25" customFormat="1" ht="21" x14ac:dyDescent="0.4">
      <x:c r="B106" s="57" t="s">
        <x:v>192</x:v>
      </x:c>
      <x:c r="D106" s="26"/>
      <x:c r="E106" s="26"/>
      <x:c r="F106" s="26"/>
      <x:c r="G106" s="26"/>
      <x:c r="R106" s="652"/>
    </x:row>
    <x:row r="107" spans="1:18" s="25" customFormat="1" ht="15" thickBot="1" x14ac:dyDescent="0.35">
      <x:c r="R107" s="652"/>
    </x:row>
    <x:row r="108" spans="1:18" s="25" customFormat="1" ht="36.6" customHeight="1" x14ac:dyDescent="0.3">
      <x:c r="B108" s="738" t="s">
        <x:v>193</x:v>
      </x:c>
      <x:c r="C108" s="739"/>
      <x:c r="D108" s="740"/>
      <x:c r="E108" s="728" t="str">
        <x:f>IF(SUM(J114:J135)&gt;0,"Error - Trading Rules Not Satisfied - Insufficient Units Created Within Habitat Groups ▲", "Trading Rules Satisfied ✓")</x:f>
        <x:v>Trading Rules Satisfied ✓</x:v>
      </x:c>
      <x:c r="F108" s="728"/>
      <x:c r="G108" s="728"/>
      <x:c r="H108" s="728"/>
      <x:c r="I108" s="729"/>
      <x:c r="J108" s="157">
        <x:f>IFERROR(FIND("Error",E108),0)</x:f>
        <x:v>0</x:v>
      </x:c>
      <x:c r="R108" s="652"/>
    </x:row>
    <x:row r="109" spans="1:18" s="25" customFormat="1" ht="36" customHeight="1" thickBot="1" x14ac:dyDescent="0.35">
      <x:c r="B109" s="731" t="s">
        <x:v>194</x:v>
      </x:c>
      <x:c r="C109" s="732"/>
      <x:c r="D109" s="733"/>
      <x:c r="E109" s="726" t="str">
        <x:f>IF(SUM(J138:J140)&gt;0,"Error - Trading Rules Not Satisfied - Insufficient Biodiversity Units Created ▲","Trading Rules Satisfied ✓")</x:f>
        <x:v>Trading Rules Satisfied ✓</x:v>
      </x:c>
      <x:c r="F109" s="726"/>
      <x:c r="G109" s="726"/>
      <x:c r="H109" s="726"/>
      <x:c r="I109" s="727"/>
      <x:c r="J109" s="157">
        <x:f>IFERROR(FIND("Error",E109),0)</x:f>
        <x:v>0</x:v>
      </x:c>
      <x:c r="R109" s="652"/>
    </x:row>
    <x:row r="110" spans="1:18" s="25" customFormat="1" x14ac:dyDescent="0.3">
      <x:c r="R110" s="652"/>
    </x:row>
    <x:row r="111" spans="1:18" s="25" customFormat="1" ht="21" x14ac:dyDescent="0.4">
      <x:c r="B111" s="57" t="s">
        <x:v>195</x:v>
      </x:c>
      <x:c r="R111" s="652"/>
    </x:row>
    <x:row r="112" spans="1:18" s="25" customFormat="1" ht="15" thickBot="1" x14ac:dyDescent="0.35">
      <x:c r="R112" s="652"/>
    </x:row>
    <x:row r="113" spans="2:18" s="25" customFormat="1" ht="36.6" customHeight="1" x14ac:dyDescent="0.3">
      <x:c r="B113" s="790" t="s">
        <x:v>196</x:v>
      </x:c>
      <x:c r="C113" s="791"/>
      <x:c r="D113" s="791"/>
      <x:c r="E113" s="212" t="s">
        <x:v>197</x:v>
      </x:c>
      <x:c r="F113" s="212" t="s">
        <x:v>198</x:v>
      </x:c>
      <x:c r="G113" s="212" t="s">
        <x:v>199</x:v>
      </x:c>
      <x:c r="H113" s="212" t="s">
        <x:v>200</x:v>
      </x:c>
      <x:c r="I113" s="120" t="s">
        <x:v>201</x:v>
      </x:c>
      <x:c r="J113" s="430"/>
      <x:c r="R113" s="652"/>
    </x:row>
    <x:row r="114" spans="2:18" s="25" customFormat="1" ht="15.6" customHeight="1" x14ac:dyDescent="0.3">
      <x:c r="B114" s="792" t="s">
        <x:v>202</x:v>
      </x:c>
      <x:c r="C114" s="793"/>
      <x:c r="D114" s="794"/>
      <x:c r="E114" s="121" t="s">
        <x:v>203</x:v>
      </x:c>
      <x:c r="F114" s="122">
        <x:f>SUMIFS($L$11:$L$30,$C$11:$C$30,$B114,$T$11:$T$30,$E114)</x:f>
        <x:v>0</x:v>
      </x:c>
      <x:c r="G114" s="122">
        <x:f>SUMIFS($L$40:$L$59,$C$40:$C$59,$B114,$T$40:$T$59,$E114)+SUMIFS($L$68:$L$87,AY68:AY87,B114,$AG$68:$AG$87,E114)+SUMIFS($AE$11:$AE$31,$C$11:$C$31,B114,$T$11:$T$31,E114)</x:f>
        <x:v>0</x:v>
      </x:c>
      <x:c r="H114" s="122">
        <x:f>G114-F114</x:f>
        <x:v>0</x:v>
      </x:c>
      <x:c r="I114" s="123" t="s">
        <x:v>204</x:v>
      </x:c>
      <x:c r="J114" s="157"/>
      <x:c r="R114" s="652"/>
    </x:row>
    <x:row r="115" spans="2:18" s="25" customFormat="1" ht="15.6" customHeight="1" x14ac:dyDescent="0.3">
      <x:c r="B115" s="795"/>
      <x:c r="C115" s="796"/>
      <x:c r="D115" s="797"/>
      <x:c r="E115" s="124" t="s">
        <x:v>205</x:v>
      </x:c>
      <x:c r="F115" s="122">
        <x:f>SUMIFS($L$11:$L$30,$C$11:$C$30,$B114,$T$11:$T$30,$E115)</x:f>
        <x:v>0</x:v>
      </x:c>
      <x:c r="G115" s="122">
        <x:f>SUMIFS($L$40:$L$59,$C$40:$C$59,$B114,$T$40:$T$59,$E115)+SUMIFS($L$68:$L$87,AY68:AY87,B114,$AG$68:$AG$87,E115)+SUMIFS($AE$11:$AE$31,$C$11:$C$31,B114,$T$11:$T$31,E115)</x:f>
        <x:v>0</x:v>
      </x:c>
      <x:c r="H115" s="122">
        <x:f>G115-F115</x:f>
        <x:v>0</x:v>
      </x:c>
      <x:c r="I115" s="125" t="str">
        <x:f>IF(F115=0,"N/A",IF(H115&lt;0,"No ▲","Yes ✓"))</x:f>
        <x:v>N/A</x:v>
      </x:c>
      <x:c r="J115" s="157">
        <x:f>IF(I115="No ▲",1,0)</x:f>
        <x:v>0</x:v>
      </x:c>
      <x:c r="R115" s="652"/>
    </x:row>
    <x:row r="116" spans="2:18" s="25" customFormat="1" ht="15.6" customHeight="1" x14ac:dyDescent="0.3">
      <x:c r="B116" s="792" t="s">
        <x:v>206</x:v>
      </x:c>
      <x:c r="C116" s="793"/>
      <x:c r="D116" s="794"/>
      <x:c r="E116" s="121" t="s">
        <x:v>203</x:v>
      </x:c>
      <x:c r="F116" s="122">
        <x:f>SUMIFS($L$11:$L$30,$C$11:$C$30,$B116,$T$11:$T$30,$E116)</x:f>
        <x:v>0</x:v>
      </x:c>
      <x:c r="G116" s="122">
        <x:f>SUMIFS($L$40:$L$59,$C$40:$C$59,$B116,$T$40:$T$59,$E116)+SUMIFS($L$68:$L$87,AY68:AY87,B116,$AG$68:$AG$87,E116)+SUMIFS($AE$11:$AE$31,$C$11:$C$31,B116,$T$11:$T$31,E116)</x:f>
        <x:v>0</x:v>
      </x:c>
      <x:c r="H116" s="122">
        <x:f>G116-F116</x:f>
        <x:v>0</x:v>
      </x:c>
      <x:c r="I116" s="123" t="s">
        <x:v>204</x:v>
      </x:c>
      <x:c r="J116" s="157"/>
      <x:c r="R116" s="652"/>
    </x:row>
    <x:row r="117" spans="2:18" s="25" customFormat="1" ht="15.6" customHeight="1" x14ac:dyDescent="0.3">
      <x:c r="B117" s="795"/>
      <x:c r="C117" s="796"/>
      <x:c r="D117" s="797"/>
      <x:c r="E117" s="124" t="s">
        <x:v>205</x:v>
      </x:c>
      <x:c r="F117" s="122">
        <x:f>SUMIFS($L$11:$L$30,$C$11:$C$30,$B116,$T$11:$T$30,$E117)</x:f>
        <x:v>0</x:v>
      </x:c>
      <x:c r="G117" s="122">
        <x:f>SUMIFS($L$40:$L$59,$C$40:$C$59,$B116,$T$40:$T$59,$E117)+SUMIFS($L$68:$L$87,AY68:AY87,B116,$AG$68:$AG$87,E117)+SUMIFS($AE$11:$AE$31,$C$11:$C$31,B116,$T$11:$T$31,E117)</x:f>
        <x:v>0</x:v>
      </x:c>
      <x:c r="H117" s="122">
        <x:f t="shared" ref="H117:H131" si="54">G117-F117</x:f>
        <x:v>0</x:v>
      </x:c>
      <x:c r="I117" s="125" t="str">
        <x:f>IF(F117=0,"N/A",IF(H117&lt;0,"No ▲","Yes ✓"))</x:f>
        <x:v>N/A</x:v>
      </x:c>
      <x:c r="J117" s="157">
        <x:f>IF(I117="No ▲",1,0)</x:f>
        <x:v>0</x:v>
      </x:c>
      <x:c r="R117" s="652"/>
    </x:row>
    <x:row r="118" spans="2:18" s="25" customFormat="1" ht="15.6" customHeight="1" x14ac:dyDescent="0.3">
      <x:c r="B118" s="792" t="s">
        <x:v>207</x:v>
      </x:c>
      <x:c r="C118" s="793"/>
      <x:c r="D118" s="794"/>
      <x:c r="E118" s="121" t="s">
        <x:v>203</x:v>
      </x:c>
      <x:c r="F118" s="122">
        <x:f>SUMIFS($L$11:$L$30,$C$11:$C$30,$B118,$T$11:$T$30,$E118)</x:f>
        <x:v>0</x:v>
      </x:c>
      <x:c r="G118" s="122">
        <x:f>SUMIFS($L$40:$L$59,$C$40:$C$59,$B118,$T$40:$T$59,$E118)+SUMIFS($L$68:$L$87,$C$68:$C$87,B118,$AG$68:$AG$87,E118)+SUMIFS($AE$11:$AE$31,$C$11:$C$31,B118,$T$11:$T$31,E118)</x:f>
        <x:v>0</x:v>
      </x:c>
      <x:c r="H118" s="122">
        <x:f t="shared" si="54"/>
        <x:v>0</x:v>
      </x:c>
      <x:c r="I118" s="123" t="s">
        <x:v>204</x:v>
      </x:c>
      <x:c r="J118" s="157"/>
      <x:c r="R118" s="652"/>
    </x:row>
    <x:row r="119" spans="2:18" s="25" customFormat="1" ht="15.6" customHeight="1" x14ac:dyDescent="0.3">
      <x:c r="B119" s="795"/>
      <x:c r="C119" s="796"/>
      <x:c r="D119" s="797"/>
      <x:c r="E119" s="124" t="s">
        <x:v>205</x:v>
      </x:c>
      <x:c r="F119" s="122">
        <x:f>SUMIFS($L$11:$L$30,$C$11:$C$30,$B118,$T$11:$T$30,$E119)</x:f>
        <x:v>0</x:v>
      </x:c>
      <x:c r="G119" s="122">
        <x:f>SUMIFS($L$40:$L$59,$C$40:$C$59,$B118,$T$40:$T$59,$E119)+SUMIFS($L$68:$L$87,$C$68:$C$87,B118,$AG$68:$AG$87,E119)+SUMIFS($AE$11:$AE$31,$C$11:$C$31,B118,$T$11:$T$31,E119)</x:f>
        <x:v>0</x:v>
      </x:c>
      <x:c r="H119" s="122">
        <x:f t="shared" si="54"/>
        <x:v>0</x:v>
      </x:c>
      <x:c r="I119" s="125" t="str">
        <x:f>IF(F119=0,"N/A",IF(H119&lt;0,"No ▲","Yes ✓"))</x:f>
        <x:v>N/A</x:v>
      </x:c>
      <x:c r="J119" s="157">
        <x:f>IF(I119="No ▲",1,0)</x:f>
        <x:v>0</x:v>
      </x:c>
      <x:c r="R119" s="652"/>
    </x:row>
    <x:row r="120" spans="2:18" s="25" customFormat="1" ht="15.6" customHeight="1" x14ac:dyDescent="0.3">
      <x:c r="B120" s="792" t="s">
        <x:v>208</x:v>
      </x:c>
      <x:c r="C120" s="793"/>
      <x:c r="D120" s="794"/>
      <x:c r="E120" s="121" t="s">
        <x:v>203</x:v>
      </x:c>
      <x:c r="F120" s="122">
        <x:f>SUMIFS($L$11:$L$30,$C$11:$C$30,$B120,$T$11:$T$30,$E120)</x:f>
        <x:v>0</x:v>
      </x:c>
      <x:c r="G120" s="122">
        <x:f>SUMIFS($L$40:$L$59,$C$40:$C$59,$B120,$T$40:$T$59,$E120)+SUMIFS($L$68:$L$87,$C$68:$C$87,B120,$AG$68:$AG$87,E120)+SUMIFS($AE$11:$AE$31,$C$11:$C$31,B120,$T$11:$T$31,E120)</x:f>
        <x:v>0</x:v>
      </x:c>
      <x:c r="H120" s="122">
        <x:f>G120-F120</x:f>
        <x:v>0</x:v>
      </x:c>
      <x:c r="I120" s="123" t="s">
        <x:v>204</x:v>
      </x:c>
      <x:c r="J120" s="157"/>
      <x:c r="R120" s="652"/>
    </x:row>
    <x:row r="121" spans="2:18" s="25" customFormat="1" ht="15.6" customHeight="1" x14ac:dyDescent="0.3">
      <x:c r="B121" s="795"/>
      <x:c r="C121" s="796"/>
      <x:c r="D121" s="797"/>
      <x:c r="E121" s="124" t="s">
        <x:v>205</x:v>
      </x:c>
      <x:c r="F121" s="122">
        <x:f>SUMIFS($L$11:$L$30,$C$11:$C$30,$B120,$T$11:$T$30,$E121)</x:f>
        <x:v>0</x:v>
      </x:c>
      <x:c r="G121" s="122">
        <x:f>SUMIFS($L$40:$L$59,$C$40:$C$59,$B120,$T$40:$T$59,$E121)+SUMIFS($L$68:$L$87,$C$68:$C$87,B120,$AG$68:$AG$87,E121)+SUMIFS($AE$11:$AE$31,$C$11:$C$31,B120,$T$11:$T$31,E121)</x:f>
        <x:v>0</x:v>
      </x:c>
      <x:c r="H121" s="122">
        <x:f t="shared" si="54"/>
        <x:v>0</x:v>
      </x:c>
      <x:c r="I121" s="125" t="str">
        <x:f>IF(F121=0,"N/A",IF(H121&lt;0,"No ▲","Yes ✓"))</x:f>
        <x:v>N/A</x:v>
      </x:c>
      <x:c r="J121" s="157">
        <x:f>IF(I121="No ▲",1,0)</x:f>
        <x:v>0</x:v>
      </x:c>
      <x:c r="R121" s="652"/>
    </x:row>
    <x:row r="122" spans="2:18" s="25" customFormat="1" ht="15.6" customHeight="1" x14ac:dyDescent="0.3">
      <x:c r="B122" s="792" t="s">
        <x:v>209</x:v>
      </x:c>
      <x:c r="C122" s="793"/>
      <x:c r="D122" s="794"/>
      <x:c r="E122" s="121" t="s">
        <x:v>203</x:v>
      </x:c>
      <x:c r="F122" s="122">
        <x:f>SUMIFS($L$11:$L$30,$C$11:$C$30,$B122,$T$11:$T$30,$E122)</x:f>
        <x:v>0</x:v>
      </x:c>
      <x:c r="G122" s="122">
        <x:f>SUMIFS($L$40:$L$59,$C$40:$C$59,$B122,$T$40:$T$59,$E122)+SUMIFS($L$68:$L$87,$C$68:$C$87,B122,$AG$68:$AG$87,E122)+SUMIFS($AE$11:$AE$31,$C$11:$C$31,B122,$T$11:$T$31,E122)</x:f>
        <x:v>0</x:v>
      </x:c>
      <x:c r="H122" s="122">
        <x:f t="shared" si="54"/>
        <x:v>0</x:v>
      </x:c>
      <x:c r="I122" s="123" t="s">
        <x:v>204</x:v>
      </x:c>
      <x:c r="J122" s="157"/>
      <x:c r="R122" s="652"/>
    </x:row>
    <x:row r="123" spans="2:18" s="25" customFormat="1" ht="15.6" customHeight="1" x14ac:dyDescent="0.3">
      <x:c r="B123" s="795"/>
      <x:c r="C123" s="796"/>
      <x:c r="D123" s="797"/>
      <x:c r="E123" s="124" t="s">
        <x:v>205</x:v>
      </x:c>
      <x:c r="F123" s="122">
        <x:f>SUMIFS($L$11:$L$30,$C$11:$C$30,$B122,$T$11:$T$30,$E123)</x:f>
        <x:v>0</x:v>
      </x:c>
      <x:c r="G123" s="122">
        <x:f>SUMIFS($L$40:$L$59,$C$40:$C$59,$B$122,$T$40:$T$59,$E$123)+SUMIFS($L$68:$L$87,$C$68:$C$87,$B$122,$AG$68:$AG$87,$E$123)+SUMIFS($AE$11:$AE$31,$C$11:$C$31,$B$122,$T$11:$T$31,$E$123)</x:f>
        <x:v>0</x:v>
      </x:c>
      <x:c r="H123" s="122">
        <x:f t="shared" si="54"/>
        <x:v>0</x:v>
      </x:c>
      <x:c r="I123" s="125" t="str">
        <x:f>IF(F123=0,"N/A",IF(H123&lt;0,"No ▲","Yes ✓"))</x:f>
        <x:v>N/A</x:v>
      </x:c>
      <x:c r="J123" s="157">
        <x:f>IF(I123="No ▲",1,0)</x:f>
        <x:v>0</x:v>
      </x:c>
      <x:c r="R123" s="652"/>
    </x:row>
    <x:row r="124" spans="2:18" s="25" customFormat="1" ht="15.6" customHeight="1" x14ac:dyDescent="0.3">
      <x:c r="B124" s="792" t="s">
        <x:v>210</x:v>
      </x:c>
      <x:c r="C124" s="793"/>
      <x:c r="D124" s="794"/>
      <x:c r="E124" s="121" t="s">
        <x:v>203</x:v>
      </x:c>
      <x:c r="F124" s="122">
        <x:f>SUMIFS($L$11:$L$30,$C$11:$C$30,$B124,$T$11:$T$30,$E124)</x:f>
        <x:v>0</x:v>
      </x:c>
      <x:c r="G124" s="122">
        <x:f>SUMIFS($L$40:$L$59,$C$40:$C$59,$B124,$T$40:$T$59,$E124)+SUMIFS($L$68:$L$87,$C$68:$C$87,B124,$AG$68:$AG$87,E124)+SUMIFS($AE$11:$AE$31,$C$11:$C$31,B124,$T$11:$T$31,E124)</x:f>
        <x:v>0</x:v>
      </x:c>
      <x:c r="H124" s="122">
        <x:f t="shared" si="54"/>
        <x:v>0</x:v>
      </x:c>
      <x:c r="I124" s="123" t="s">
        <x:v>204</x:v>
      </x:c>
      <x:c r="J124" s="157"/>
      <x:c r="R124" s="652"/>
    </x:row>
    <x:row r="125" spans="2:18" s="25" customFormat="1" ht="15.6" customHeight="1" x14ac:dyDescent="0.3">
      <x:c r="B125" s="795"/>
      <x:c r="C125" s="796"/>
      <x:c r="D125" s="797"/>
      <x:c r="E125" s="124" t="s">
        <x:v>205</x:v>
      </x:c>
      <x:c r="F125" s="122">
        <x:f>SUMIFS($L$11:$L$30,$C$11:$C$30,$B124,$T$11:$T$30,$E125)</x:f>
        <x:v>0</x:v>
      </x:c>
      <x:c r="G125" s="122">
        <x:f>SUMIFS($L$40:$L$59,$C$40:$C$59,$B$124,$T$40:$T$59,$E125)+SUMIFS($L$68:$L$87,$C$68:$C$87,B124,$AG$68:$AG$87,E125)+SUMIFS($AE$11:$AE$31,$C$11:$C$31,$B$124,$T$11:$T$31,$E$125)</x:f>
        <x:v>0</x:v>
      </x:c>
      <x:c r="H125" s="122">
        <x:f>G125-F125</x:f>
        <x:v>0</x:v>
      </x:c>
      <x:c r="I125" s="125" t="str">
        <x:f>IF(F125=0,"N/A",IF(H125&lt;0,"No ▲","Yes ✓"))</x:f>
        <x:v>N/A</x:v>
      </x:c>
      <x:c r="J125" s="157">
        <x:f>IF(I125="No ▲",1,0)</x:f>
        <x:v>0</x:v>
      </x:c>
      <x:c r="R125" s="652"/>
    </x:row>
    <x:row r="126" spans="2:18" s="25" customFormat="1" ht="15.6" customHeight="1" x14ac:dyDescent="0.3">
      <x:c r="B126" s="792" t="s">
        <x:v>211</x:v>
      </x:c>
      <x:c r="C126" s="793"/>
      <x:c r="D126" s="794"/>
      <x:c r="E126" s="121" t="s">
        <x:v>203</x:v>
      </x:c>
      <x:c r="F126" s="122">
        <x:f>SUMIFS($L$11:$L$30,$C$11:$C$30,$B126,$T$11:$T$30,$E126)</x:f>
        <x:v>0</x:v>
      </x:c>
      <x:c r="G126" s="122">
        <x:f>SUMIFS($L$40:$L$59,$C$40:$C$59,$B126,$T$40:$T$59,$E126)+SUMIFS($L$68:$L$87,AY68:AY87,B126,$AG$68:$AG$87,E126)+SUMIFS($AE$11:$AE$31,$C$11:$C$31,B126,$T$11:$T$31,E126)</x:f>
        <x:v>0</x:v>
      </x:c>
      <x:c r="H126" s="122">
        <x:f t="shared" si="54"/>
        <x:v>0</x:v>
      </x:c>
      <x:c r="I126" s="123" t="s">
        <x:v>204</x:v>
      </x:c>
      <x:c r="J126" s="157"/>
      <x:c r="R126" s="652"/>
    </x:row>
    <x:row r="127" spans="2:18" s="25" customFormat="1" ht="15.6" customHeight="1" x14ac:dyDescent="0.3">
      <x:c r="B127" s="795"/>
      <x:c r="C127" s="796"/>
      <x:c r="D127" s="797"/>
      <x:c r="E127" s="124" t="s">
        <x:v>205</x:v>
      </x:c>
      <x:c r="F127" s="122">
        <x:f>SUMIFS($L$11:$L$30,$C$11:$C$30,$B126,$T$11:$T$30,$E127)</x:f>
        <x:v>0</x:v>
      </x:c>
      <x:c r="G127" s="122">
        <x:f>SUMIFS($L$40:$L$59,$C$40:$C$59,$B126,$T$40:$T$59,$E127)+SUMIFS($L$68:$L$87,AY68:AY87,B126,$AG$68:$AG$87,E127)+SUMIFS($AE$11:$AE$31,$C$11:$C$31,B126,$T$11:$T$31,E127)</x:f>
        <x:v>0</x:v>
      </x:c>
      <x:c r="H127" s="122">
        <x:f t="shared" si="54"/>
        <x:v>0</x:v>
      </x:c>
      <x:c r="I127" s="125" t="str">
        <x:f>IF(F127=0,"N/A",IF(H127&lt;0,"No ▲","Yes ✓"))</x:f>
        <x:v>N/A</x:v>
      </x:c>
      <x:c r="J127" s="157">
        <x:f>IF(I127="No ▲",1,0)</x:f>
        <x:v>0</x:v>
      </x:c>
      <x:c r="R127" s="652"/>
    </x:row>
    <x:row r="128" spans="2:18" s="25" customFormat="1" ht="15.6" customHeight="1" x14ac:dyDescent="0.3">
      <x:c r="B128" s="792" t="s">
        <x:v>212</x:v>
      </x:c>
      <x:c r="C128" s="793"/>
      <x:c r="D128" s="794"/>
      <x:c r="E128" s="121" t="s">
        <x:v>203</x:v>
      </x:c>
      <x:c r="F128" s="122">
        <x:f>SUMIFS($L$11:$L$30,$C$11:$C$30,$B128,$T$11:$T$30,$E128)</x:f>
        <x:v>0</x:v>
      </x:c>
      <x:c r="G128" s="122">
        <x:f>SUMIFS($L$40:$L$59,$C$40:$C$59,$B128,$T$40:$T$59,$E128)+SUMIFS($L$68:$L$87,AY68:AY87,B128,$AG$68:$AG$87,E128)+SUMIFS($AE$11:$AE$31,$C$11:$C$31,B128,$T$11:$T$31,E128)</x:f>
        <x:v>0</x:v>
      </x:c>
      <x:c r="H128" s="122">
        <x:f t="shared" si="54"/>
        <x:v>0</x:v>
      </x:c>
      <x:c r="I128" s="123" t="s">
        <x:v>204</x:v>
      </x:c>
      <x:c r="J128" s="157"/>
      <x:c r="R128" s="652"/>
    </x:row>
    <x:row r="129" spans="2:18" s="25" customFormat="1" ht="15.6" customHeight="1" x14ac:dyDescent="0.3">
      <x:c r="B129" s="795"/>
      <x:c r="C129" s="796"/>
      <x:c r="D129" s="797"/>
      <x:c r="E129" s="124" t="s">
        <x:v>205</x:v>
      </x:c>
      <x:c r="F129" s="122">
        <x:f>SUMIFS($L$11:$L$30,$C$11:$C$30,$B128,$T$11:$T$30,$E129)</x:f>
        <x:v>0</x:v>
      </x:c>
      <x:c r="G129" s="122">
        <x:f>SUMIFS($L$40:$L$59,$C$40:$C$59,$B128,$T$40:$T$59,$E129)+SUMIFS($L$68:$L$87,AY68:AY87,B128,$AG$68:$AG$87,E129)+SUMIFS($AE$11:$AE$31,$C$11:$C$31,B128,$T$11:$T$31,E129)</x:f>
        <x:v>0</x:v>
      </x:c>
      <x:c r="H129" s="122">
        <x:f t="shared" si="54"/>
        <x:v>0</x:v>
      </x:c>
      <x:c r="I129" s="125" t="str">
        <x:f>IF(F129=0,"N/A",IF(H129&lt;0,"No ▲","Yes ✓"))</x:f>
        <x:v>N/A</x:v>
      </x:c>
      <x:c r="J129" s="157">
        <x:f>IF(I129="No ▲",1,0)</x:f>
        <x:v>0</x:v>
      </x:c>
      <x:c r="R129" s="652"/>
    </x:row>
    <x:row r="130" spans="2:18" s="25" customFormat="1" ht="15.6" customHeight="1" x14ac:dyDescent="0.3">
      <x:c r="B130" s="792" t="s">
        <x:v>213</x:v>
      </x:c>
      <x:c r="C130" s="793"/>
      <x:c r="D130" s="794"/>
      <x:c r="E130" s="121" t="s">
        <x:v>203</x:v>
      </x:c>
      <x:c r="F130" s="122">
        <x:f>SUMIFS($L$11:$L$30,$C$11:$C$30,$B130,$T$11:$T$30,$E130)</x:f>
        <x:v>0</x:v>
      </x:c>
      <x:c r="G130" s="122">
        <x:f>SUMIFS($L$40:$L$59,$C$40:$C$59,$B130,$T$40:$T$59,$E130)+SUMIFS($L$68:$L$87,$C$68:$C$87,B130,$AG$68:$AG$87,E130)+SUMIFS($AE$11:$AE$31,$C$11:$C$31,B130,$T$11:$T$31,E130)</x:f>
        <x:v>0</x:v>
      </x:c>
      <x:c r="H130" s="122">
        <x:f t="shared" si="54"/>
        <x:v>0</x:v>
      </x:c>
      <x:c r="I130" s="123" t="s">
        <x:v>204</x:v>
      </x:c>
      <x:c r="J130" s="157"/>
      <x:c r="R130" s="652"/>
    </x:row>
    <x:row r="131" spans="2:18" s="25" customFormat="1" ht="15.6" customHeight="1" x14ac:dyDescent="0.3">
      <x:c r="B131" s="795"/>
      <x:c r="C131" s="796"/>
      <x:c r="D131" s="797"/>
      <x:c r="E131" s="124" t="s">
        <x:v>205</x:v>
      </x:c>
      <x:c r="F131" s="122">
        <x:f>SUMIFS($L$11:$L$30,$C$11:$C$30,$B130,$T$11:$T$30,$E131)</x:f>
        <x:v>0</x:v>
      </x:c>
      <x:c r="G131" s="122">
        <x:f>SUMIFS($L$40:$L$59,$C$40:$C$59,$B130,$T$40:$T$59,$E131)+SUMIFS($L$68:$L$87,$C$68:$C$87,B130,$AG$68:$AG$87,E131)+SUMIFS($AE$11:$AE$31,$C$11:$C$31,B130,$T$11:$T$31,E131)</x:f>
        <x:v>0</x:v>
      </x:c>
      <x:c r="H131" s="122">
        <x:f t="shared" si="54"/>
        <x:v>0</x:v>
      </x:c>
      <x:c r="I131" s="125" t="str">
        <x:f>IF(F131=0,"N/A",IF(H131&lt;0,"No ▲","Yes ✓"))</x:f>
        <x:v>N/A</x:v>
      </x:c>
      <x:c r="J131" s="157">
        <x:f>IF(I131="No ▲",1,0)</x:f>
        <x:v>0</x:v>
      </x:c>
      <x:c r="R131" s="652"/>
    </x:row>
    <x:row r="132" spans="2:18" s="25" customFormat="1" ht="15.6" customHeight="1" x14ac:dyDescent="0.3">
      <x:c r="B132" s="792" t="s">
        <x:v>214</x:v>
      </x:c>
      <x:c r="C132" s="793"/>
      <x:c r="D132" s="793"/>
      <x:c r="E132" s="121" t="s">
        <x:v>203</x:v>
      </x:c>
      <x:c r="F132" s="122">
        <x:f>SUMIFS($L$11:$L$30,$C$11:$C$30,$B132,$T$11:$T$30,$E132)</x:f>
        <x:v>0</x:v>
      </x:c>
      <x:c r="G132" s="122">
        <x:f>SUMIFS($L$40:$L$59,$C$40:$C$59,$B132,$T$40:$T$59,$E132)+SUMIFS($L$68:$L$87,$C$68:$C$87,B132,$AG$68:$AG$87,E132)+SUMIFS($AE$11:$AE$31,$C$11:$C$31,B132,$T$11:$T$31,E132)</x:f>
        <x:v>0</x:v>
      </x:c>
      <x:c r="H132" s="122">
        <x:f>G132-F132</x:f>
        <x:v>0</x:v>
      </x:c>
      <x:c r="I132" s="123" t="s">
        <x:v>204</x:v>
      </x:c>
      <x:c r="J132" s="157"/>
      <x:c r="R132" s="652"/>
    </x:row>
    <x:row r="133" spans="2:18" s="25" customFormat="1" ht="15.6" customHeight="1" x14ac:dyDescent="0.3">
      <x:c r="B133" s="807"/>
      <x:c r="C133" s="808"/>
      <x:c r="D133" s="808"/>
      <x:c r="E133" s="375" t="s">
        <x:v>205</x:v>
      </x:c>
      <x:c r="F133" s="376">
        <x:f>SUMIFS($L$11:$L$30,$C$11:$C$30,$B132,$T$11:$T$30,$E133)</x:f>
        <x:v>0</x:v>
      </x:c>
      <x:c r="G133" s="376">
        <x:f>SUMIFS($L$40:$L$59,$C$40:$C$59,$B132,$T$40:$T$59,$E133)+SUMIFS($L$68:$L$87,$C$68:$C$87,B132,$AG$68:$AG$87,E133)+SUMIFS($AE$11:$AE$31,$C$11:$C$31,B132,$T$11:$T$31,E133)</x:f>
        <x:v>0</x:v>
      </x:c>
      <x:c r="H133" s="376">
        <x:f>G133-F133</x:f>
        <x:v>0</x:v>
      </x:c>
      <x:c r="I133" s="377" t="str">
        <x:f>IF(F133=0,"N/A",IF(H133&lt;0,"No ▲","Yes ✓"))</x:f>
        <x:v>N/A</x:v>
      </x:c>
      <x:c r="J133" s="157">
        <x:f>IF(I133="No ▲",1,0)</x:f>
        <x:v>0</x:v>
      </x:c>
      <x:c r="R133" s="652"/>
    </x:row>
    <x:row r="134" spans="2:18" s="25" customFormat="1" ht="15.6" customHeight="1" x14ac:dyDescent="0.3">
      <x:c r="B134" s="792" t="s">
        <x:v>93</x:v>
      </x:c>
      <x:c r="C134" s="793"/>
      <x:c r="D134" s="794"/>
      <x:c r="E134" s="121" t="s">
        <x:v>203</x:v>
      </x:c>
      <x:c r="F134" s="122">
        <x:f>SUMIFS($L$11:$L$31,$C$11:$C$31,$B134,$T$11:$T$31,$E134)</x:f>
        <x:v>0</x:v>
      </x:c>
      <x:c r="G134" s="122">
        <x:f>SUMIFS($L$40:$L$60,$C$40:$C$60,$B134,$T$40:$T$60,$E134)+SUMIFS($L$68:$L$88,$C$68:$C$88,B134,$AG$68:$AG$88,E134)+SUMIFS($AE$11:$AE$31,$C$11:$C$31,B134,$T$11:$T$31,E134)</x:f>
        <x:v>0</x:v>
      </x:c>
      <x:c r="H134" s="122">
        <x:f>G134-F134</x:f>
        <x:v>0</x:v>
      </x:c>
      <x:c r="I134" s="123" t="s">
        <x:v>204</x:v>
      </x:c>
      <x:c r="J134" s="157"/>
      <x:c r="R134" s="652"/>
    </x:row>
    <x:row r="135" spans="2:18" s="25" customFormat="1" ht="23.1" customHeight="1" thickBot="1" x14ac:dyDescent="0.35">
      <x:c r="B135" s="809"/>
      <x:c r="C135" s="810"/>
      <x:c r="D135" s="811"/>
      <x:c r="E135" s="214" t="s">
        <x:v>205</x:v>
      </x:c>
      <x:c r="F135" s="215">
        <x:f>SUMIFS($L$11:$L$31,$C$11:$C$31,$B134,$T$11:$T$31,$E135)</x:f>
        <x:v>0</x:v>
      </x:c>
      <x:c r="G135" s="215">
        <x:f>SUMIFS($L$40:$L$60,$C$40:$C$60,$B134,$T$40:$T$60,$E135)+SUMIFS($L$68:$L$88,$C$68:$C$88,B134,$AG$68:$AG$88,E135)+SUMIFS($AE$11:$AE$31,$C$11:$C$31,B134,$T$11:$T$31,E135)</x:f>
        <x:v>0</x:v>
      </x:c>
      <x:c r="H135" s="215">
        <x:f>G135-F135</x:f>
        <x:v>0</x:v>
      </x:c>
      <x:c r="I135" s="502" t="str">
        <x:f>IF(F135=0,"N/A",IF(H135&lt;0,"No ▲","Yes ✓"))</x:f>
        <x:v>N/A</x:v>
      </x:c>
      <x:c r="J135" s="157">
        <x:f t="shared" ref="J135:J140" si="55">IF(I135="No ▲",1,0)</x:f>
        <x:v>0</x:v>
      </x:c>
      <x:c r="R135" s="652"/>
    </x:row>
    <x:row r="136" spans="2:18" s="25" customFormat="1" ht="15.6" customHeight="1" thickBot="1" x14ac:dyDescent="0.35">
      <x:c r="J136" s="157"/>
      <x:c r="M136" s="26"/>
      <x:c r="R136" s="652"/>
    </x:row>
    <x:row r="137" spans="2:18" s="25" customFormat="1" ht="36" x14ac:dyDescent="0.3">
      <x:c r="B137" s="738" t="s">
        <x:v>197</x:v>
      </x:c>
      <x:c r="C137" s="739"/>
      <x:c r="D137" s="739"/>
      <x:c r="E137" s="740"/>
      <x:c r="F137" s="126" t="s">
        <x:v>198</x:v>
      </x:c>
      <x:c r="G137" s="126" t="s">
        <x:v>199</x:v>
      </x:c>
      <x:c r="H137" s="126" t="s">
        <x:v>200</x:v>
      </x:c>
      <x:c r="I137" s="127" t="s">
        <x:v>201</x:v>
      </x:c>
      <x:c r="J137" s="157"/>
      <x:c r="M137" s="26"/>
      <x:c r="R137" s="652"/>
    </x:row>
    <x:row r="138" spans="2:18" s="25" customFormat="1" ht="30.6" customHeight="1" x14ac:dyDescent="0.3">
      <x:c r="B138" s="801" t="s">
        <x:v>215</x:v>
      </x:c>
      <x:c r="C138" s="802"/>
      <x:c r="D138" s="802"/>
      <x:c r="E138" s="803"/>
      <x:c r="F138" s="122">
        <x:f>SUMIFS($L$11:$L$31,$T$11:$T$31,"Medium")</x:f>
        <x:v>0</x:v>
      </x:c>
      <x:c r="G138" s="156">
        <x:f>IF(L61+L89+P1=0,0,SUMIFS($L$40:$L$60,$T$40:$T$60,"Medium")+SUMIFS($L$68:$L$87,$AG$68:$AG$87,"Medium")+SUMIFS($AE$11:$AE$31,$T$11:$T$31,"Medium"))</x:f>
        <x:v>0</x:v>
      </x:c>
      <x:c r="H138" s="122">
        <x:f>IFERROR(G138-F138,"")</x:f>
        <x:v>0</x:v>
      </x:c>
      <x:c r="I138" s="329" t="str">
        <x:f>IF(G138="","",IF(H138&gt;=0,"Yes ✓","No ▲"))</x:f>
        <x:v>Yes ✓</x:v>
      </x:c>
      <x:c r="J138" s="157">
        <x:f t="shared" si="55"/>
        <x:v>0</x:v>
      </x:c>
      <x:c r="R138" s="652" t="s">
        <x:v>55</x:v>
      </x:c>
    </x:row>
    <x:row r="139" spans="2:18" s="25" customFormat="1" ht="30.6" customHeight="1" x14ac:dyDescent="0.3">
      <x:c r="B139" s="801" t="s">
        <x:v>216</x:v>
      </x:c>
      <x:c r="C139" s="802"/>
      <x:c r="D139" s="802"/>
      <x:c r="E139" s="803"/>
      <x:c r="F139" s="122">
        <x:f>SUMIFS($L$11:$L$31,$T$11:$T$31,"Low")</x:f>
        <x:v>0</x:v>
      </x:c>
      <x:c r="G139" s="156">
        <x:f>IF(L61+L89+P1=0,0,SUMIFS($L$40:$L$60,$T$40:$T$60,"Low")+SUMIFS($L$68:$L$88,$AG$68:$AG$88,"Low")+SUMIFS($AE$11:$AE$31,$T$11:$T$31,"Low"))</x:f>
        <x:v>0</x:v>
      </x:c>
      <x:c r="H139" s="122">
        <x:f>IFERROR(G139-F139,"")</x:f>
        <x:v>0</x:v>
      </x:c>
      <x:c r="I139" s="329" t="str">
        <x:f>IF($I$142&gt;=0,"Yes ✓","No ▲")</x:f>
        <x:v>Yes ✓</x:v>
      </x:c>
      <x:c r="J139" s="157">
        <x:f t="shared" si="55"/>
        <x:v>0</x:v>
      </x:c>
      <x:c r="R139" s="652"/>
    </x:row>
    <x:row r="140" spans="2:18" s="25" customFormat="1" ht="41.25" customHeight="1" thickBot="1" x14ac:dyDescent="0.35">
      <x:c r="B140" s="804" t="s">
        <x:v>217</x:v>
      </x:c>
      <x:c r="C140" s="805"/>
      <x:c r="D140" s="805"/>
      <x:c r="E140" s="806"/>
      <x:c r="F140" s="798">
        <x:f>IFERROR(H138+H139,"")</x:f>
        <x:v>0</x:v>
      </x:c>
      <x:c r="G140" s="799"/>
      <x:c r="H140" s="800"/>
      <x:c r="I140" s="330" t="str">
        <x:f>IF(F140="","",IF(F140&gt;=0,"Yes ✓","No ▲"))</x:f>
        <x:v>Yes ✓</x:v>
      </x:c>
      <x:c r="J140" s="157">
        <x:f t="shared" si="55"/>
        <x:v>0</x:v>
      </x:c>
      <x:c r="R140" s="652"/>
    </x:row>
    <x:row r="141" spans="2:18" s="25" customFormat="1" x14ac:dyDescent="0.3">
      <x:c r="R141" s="652"/>
    </x:row>
    <x:row r="142" spans="2:18" s="25" customFormat="1" x14ac:dyDescent="0.3">
      <x:c r="I142" s="434">
        <x:f>IF($H$138&gt;0,($H$139+$H$138),$H$139)</x:f>
        <x:v>0</x:v>
      </x:c>
      <x:c r="R142" s="652"/>
    </x:row>
    <x:row r="143" spans="2:18" s="25" customFormat="1" x14ac:dyDescent="0.3">
      <x:c r="R143" s="652"/>
    </x:row>
    <x:row r="144" spans="2:18" s="25" customFormat="1" x14ac:dyDescent="0.3">
      <x:c r="R144" s="652"/>
    </x:row>
    <x:row r="145" spans="18:18" s="25" customFormat="1" x14ac:dyDescent="0.3">
      <x:c r="R145" s="652"/>
    </x:row>
    <x:row r="146" spans="18:18" s="25" customFormat="1" x14ac:dyDescent="0.3">
      <x:c r="R146" s="652"/>
    </x:row>
    <x:row r="147" spans="18:18" s="25" customFormat="1" x14ac:dyDescent="0.3">
      <x:c r="R147" s="652"/>
    </x:row>
    <x:row r="148" spans="18:18" s="25" customFormat="1" x14ac:dyDescent="0.3">
      <x:c r="R148" s="652"/>
    </x:row>
    <x:row r="149" spans="18:18" s="25" customFormat="1" x14ac:dyDescent="0.3">
      <x:c r="R149" s="652"/>
    </x:row>
    <x:row r="150" spans="18:18" s="25" customFormat="1" x14ac:dyDescent="0.3">
      <x:c r="R150" s="652"/>
    </x:row>
    <x:row r="151" spans="18:18" s="25" customFormat="1" x14ac:dyDescent="0.3">
      <x:c r="R151" s="652"/>
    </x:row>
    <x:row r="152" spans="18:18" s="25" customFormat="1" x14ac:dyDescent="0.3">
      <x:c r="R152" s="652"/>
    </x:row>
    <x:row r="153" spans="18:18" s="25" customFormat="1" x14ac:dyDescent="0.3">
      <x:c r="R153" s="652"/>
    </x:row>
    <x:row r="154" spans="18:18" s="25" customFormat="1" x14ac:dyDescent="0.3">
      <x:c r="R154" s="652"/>
    </x:row>
    <x:row r="155" spans="18:18" s="25" customFormat="1" x14ac:dyDescent="0.3">
      <x:c r="R155" s="652"/>
    </x:row>
    <x:row r="156" spans="18:18" s="25" customFormat="1" x14ac:dyDescent="0.3">
      <x:c r="R156" s="652"/>
    </x:row>
    <x:row r="157" spans="18:18" s="25" customFormat="1" x14ac:dyDescent="0.3">
      <x:c r="R157" s="652"/>
    </x:row>
    <x:row r="158" spans="18:18" s="25" customFormat="1" x14ac:dyDescent="0.3">
      <x:c r="R158" s="652"/>
    </x:row>
    <x:row r="159" spans="18:18" s="25" customFormat="1" x14ac:dyDescent="0.3">
      <x:c r="R159" s="652"/>
    </x:row>
    <x:row r="160" spans="18:18" s="25" customFormat="1" x14ac:dyDescent="0.3">
      <x:c r="R160" s="652"/>
    </x:row>
    <x:row r="161" spans="18:18" s="25" customFormat="1" x14ac:dyDescent="0.3">
      <x:c r="R161" s="652"/>
    </x:row>
    <x:row r="162" spans="18:18" s="25" customFormat="1" x14ac:dyDescent="0.3">
      <x:c r="R162" s="652"/>
    </x:row>
    <x:row r="163" spans="18:18" s="25" customFormat="1" x14ac:dyDescent="0.3">
      <x:c r="R163" s="652"/>
    </x:row>
    <x:row r="164" spans="18:18" s="25" customFormat="1" x14ac:dyDescent="0.3">
      <x:c r="R164" s="652"/>
    </x:row>
    <x:row r="165" spans="18:18" s="25" customFormat="1" x14ac:dyDescent="0.3">
      <x:c r="R165" s="652"/>
    </x:row>
    <x:row r="166" spans="18:18" s="25" customFormat="1" x14ac:dyDescent="0.3">
      <x:c r="R166" s="652"/>
    </x:row>
    <x:row r="167" spans="18:18" s="25" customFormat="1" x14ac:dyDescent="0.3">
      <x:c r="R167" s="652"/>
    </x:row>
    <x:row r="168" spans="18:18" s="25" customFormat="1" x14ac:dyDescent="0.3">
      <x:c r="R168" s="652"/>
    </x:row>
    <x:row r="169" spans="18:18" s="25" customFormat="1" x14ac:dyDescent="0.3">
      <x:c r="R169" s="652"/>
    </x:row>
  </x:sheetData>
  <x:sheetProtection algorithmName="SHA-512" hashValue="rsFdASMxyLnDo8IkIV7Oz7GB6MQlYQrKcjh4/1rrGzsCnMN8e+oyx4NVrw492eMJ0B8aqwKpBzG9N0LG0ETPHQ==" saltValue="nPSlTLoCZlsnf9MRvJ0giA==" spinCount="100000" sheet="1" formatRows="0"/>
  <x:mergeCells count="332">
    <x:mergeCell ref="B93:C94"/>
    <x:mergeCell ref="D93:D94"/>
    <x:mergeCell ref="E93:F94"/>
    <x:mergeCell ref="I93:P93"/>
    <x:mergeCell ref="I94:K94"/>
    <x:mergeCell ref="L94:N94"/>
    <x:mergeCell ref="B98:C98"/>
    <x:mergeCell ref="E98:F98"/>
    <x:mergeCell ref="I98:K98"/>
    <x:mergeCell ref="L98:N98"/>
    <x:mergeCell ref="O94:P94"/>
    <x:mergeCell ref="G93:H94"/>
    <x:mergeCell ref="G95:H95"/>
    <x:mergeCell ref="G96:H96"/>
    <x:mergeCell ref="G97:H97"/>
    <x:mergeCell ref="G98:H98"/>
    <x:mergeCell ref="AE9:AG9"/>
    <x:mergeCell ref="AI9:AI10"/>
    <x:mergeCell ref="AH9:AH10"/>
    <x:mergeCell ref="D15:E15"/>
    <x:mergeCell ref="D14:E14"/>
    <x:mergeCell ref="D13:E13"/>
    <x:mergeCell ref="D12:E12"/>
    <x:mergeCell ref="D11:E11"/>
    <x:mergeCell ref="J88:K88"/>
    <x:mergeCell ref="D26:E26"/>
    <x:mergeCell ref="D25:E25"/>
    <x:mergeCell ref="D24:E24"/>
    <x:mergeCell ref="D23:E23"/>
    <x:mergeCell ref="M68:N68"/>
    <x:mergeCell ref="L66:L67"/>
    <x:mergeCell ref="M66:N67"/>
    <x:mergeCell ref="M80:N80"/>
    <x:mergeCell ref="M79:N79"/>
    <x:mergeCell ref="M78:N78"/>
    <x:mergeCell ref="M77:N77"/>
    <x:mergeCell ref="M76:N76"/>
    <x:mergeCell ref="M75:N75"/>
    <x:mergeCell ref="M74:N74"/>
    <x:mergeCell ref="M72:N72"/>
    <x:mergeCell ref="F44:G44"/>
    <x:mergeCell ref="F43:G43"/>
    <x:mergeCell ref="M71:N71"/>
    <x:mergeCell ref="M70:N70"/>
    <x:mergeCell ref="M69:N69"/>
    <x:mergeCell ref="M73:N73"/>
    <x:mergeCell ref="C2:D2"/>
    <x:mergeCell ref="C3:D3"/>
    <x:mergeCell ref="E38:G38"/>
    <x:mergeCell ref="D31:E31"/>
    <x:mergeCell ref="F25:H25"/>
    <x:mergeCell ref="F24:H24"/>
    <x:mergeCell ref="D30:E30"/>
    <x:mergeCell ref="D28:E28"/>
    <x:mergeCell ref="D27:E27"/>
    <x:mergeCell ref="F30:H30"/>
    <x:mergeCell ref="F29:H29"/>
    <x:mergeCell ref="F28:H28"/>
    <x:mergeCell ref="F27:H27"/>
    <x:mergeCell ref="D20:E20"/>
    <x:mergeCell ref="D19:E19"/>
    <x:mergeCell ref="D18:E18"/>
    <x:mergeCell ref="C9:E9"/>
    <x:mergeCell ref="C66:D66"/>
    <x:mergeCell ref="B9:B10"/>
    <x:mergeCell ref="F22:H22"/>
    <x:mergeCell ref="F21:H21"/>
    <x:mergeCell ref="F20:H20"/>
    <x:mergeCell ref="F19:H19"/>
    <x:mergeCell ref="F18:H18"/>
    <x:mergeCell ref="F52:G52"/>
    <x:mergeCell ref="D10:E10"/>
    <x:mergeCell ref="D17:E17"/>
    <x:mergeCell ref="D16:E16"/>
    <x:mergeCell ref="D22:E22"/>
    <x:mergeCell ref="D21:E21"/>
    <x:mergeCell ref="F51:G51"/>
    <x:mergeCell ref="F50:G50"/>
    <x:mergeCell ref="F49:G49"/>
    <x:mergeCell ref="F48:G48"/>
    <x:mergeCell ref="F42:G42"/>
    <x:mergeCell ref="F41:G41"/>
    <x:mergeCell ref="F40:G40"/>
    <x:mergeCell ref="F39:G39"/>
    <x:mergeCell ref="D29:E29"/>
    <x:mergeCell ref="F47:G47"/>
    <x:mergeCell ref="F46:G46"/>
    <x:mergeCell ref="F45:G45"/>
    <x:mergeCell ref="I56:K56"/>
    <x:mergeCell ref="I55:K55"/>
    <x:mergeCell ref="I66:I67"/>
    <x:mergeCell ref="J66:K67"/>
    <x:mergeCell ref="L40:N40"/>
    <x:mergeCell ref="I61:K61"/>
    <x:mergeCell ref="L61:N61"/>
    <x:mergeCell ref="I54:K54"/>
    <x:mergeCell ref="L52:N52"/>
    <x:mergeCell ref="L43:N43"/>
    <x:mergeCell ref="I51:K51"/>
    <x:mergeCell ref="I43:K43"/>
    <x:mergeCell ref="I42:K42"/>
    <x:mergeCell ref="I41:K41"/>
    <x:mergeCell ref="I40:K40"/>
    <x:mergeCell ref="I44:K44"/>
    <x:mergeCell ref="I48:K48"/>
    <x:mergeCell ref="I47:K47"/>
    <x:mergeCell ref="I46:K46"/>
    <x:mergeCell ref="I45:K45"/>
    <x:mergeCell ref="R110:R137"/>
    <x:mergeCell ref="R138:R169"/>
    <x:mergeCell ref="B113:D113"/>
    <x:mergeCell ref="B114:D115"/>
    <x:mergeCell ref="B116:D117"/>
    <x:mergeCell ref="B118:D119"/>
    <x:mergeCell ref="B120:D121"/>
    <x:mergeCell ref="B122:D123"/>
    <x:mergeCell ref="B124:D125"/>
    <x:mergeCell ref="B126:D127"/>
    <x:mergeCell ref="B128:D129"/>
    <x:mergeCell ref="B130:D131"/>
    <x:mergeCell ref="F140:H140"/>
    <x:mergeCell ref="B138:E138"/>
    <x:mergeCell ref="B139:E139"/>
    <x:mergeCell ref="B140:E140"/>
    <x:mergeCell ref="B132:D133"/>
    <x:mergeCell ref="B137:E137"/>
    <x:mergeCell ref="B134:D135"/>
    <x:mergeCell ref="AE38:AF38"/>
    <x:mergeCell ref="F17:H17"/>
    <x:mergeCell ref="F16:H16"/>
    <x:mergeCell ref="F15:H15"/>
    <x:mergeCell ref="F14:H14"/>
    <x:mergeCell ref="F13:H13"/>
    <x:mergeCell ref="F12:H12"/>
    <x:mergeCell ref="F11:H11"/>
    <x:mergeCell ref="F26:H26"/>
    <x:mergeCell ref="R1:R32"/>
    <x:mergeCell ref="L38:N39"/>
    <x:mergeCell ref="F23:H23"/>
    <x:mergeCell ref="F2:H6"/>
    <x:mergeCell ref="F31:H31"/>
    <x:mergeCell ref="F9:H10"/>
    <x:mergeCell ref="H38:H39"/>
    <x:mergeCell ref="J2:M5"/>
    <x:mergeCell ref="T10:U10"/>
    <x:mergeCell ref="T11:U11"/>
    <x:mergeCell ref="T12:U12"/>
    <x:mergeCell ref="T13:U13"/>
    <x:mergeCell ref="T14:U14"/>
    <x:mergeCell ref="I33:N33"/>
    <x:mergeCell ref="I34:N34"/>
    <x:mergeCell ref="AG38:AH38"/>
    <x:mergeCell ref="O38:P38"/>
    <x:mergeCell ref="I60:K60"/>
    <x:mergeCell ref="L9:N9"/>
    <x:mergeCell ref="O9:P9"/>
    <x:mergeCell ref="I38:K39"/>
    <x:mergeCell ref="I49:K49"/>
    <x:mergeCell ref="I50:K50"/>
    <x:mergeCell ref="L49:N49"/>
    <x:mergeCell ref="I59:K59"/>
    <x:mergeCell ref="I57:K57"/>
    <x:mergeCell ref="L59:N59"/>
    <x:mergeCell ref="W38:X38"/>
    <x:mergeCell ref="Y38:AA38"/>
    <x:mergeCell ref="AB38:AD38"/>
    <x:mergeCell ref="L44:N44"/>
    <x:mergeCell ref="L45:N45"/>
    <x:mergeCell ref="L51:N51"/>
    <x:mergeCell ref="L50:N50"/>
    <x:mergeCell ref="I35:N35"/>
    <x:mergeCell ref="W9:X9"/>
    <x:mergeCell ref="Y9:AA9"/>
    <x:mergeCell ref="AB9:AD9"/>
    <x:mergeCell ref="I9:K9"/>
    <x:mergeCell ref="E109:I109"/>
    <x:mergeCell ref="E108:I108"/>
    <x:mergeCell ref="A102:Q104"/>
    <x:mergeCell ref="L46:N46"/>
    <x:mergeCell ref="L47:N47"/>
    <x:mergeCell ref="L48:N48"/>
    <x:mergeCell ref="R35:R64"/>
    <x:mergeCell ref="L57:N57"/>
    <x:mergeCell ref="L58:N58"/>
    <x:mergeCell ref="J70:K70"/>
    <x:mergeCell ref="B109:D109"/>
    <x:mergeCell ref="B38:B39"/>
    <x:mergeCell ref="B99:C99"/>
    <x:mergeCell ref="C38:D38"/>
    <x:mergeCell ref="B108:D108"/>
    <x:mergeCell ref="B97:C97"/>
    <x:mergeCell ref="B96:C96"/>
    <x:mergeCell ref="B95:C95"/>
    <x:mergeCell ref="L41:N41"/>
    <x:mergeCell ref="L42:N42"/>
    <x:mergeCell ref="E99:F99"/>
    <x:mergeCell ref="F60:G60"/>
    <x:mergeCell ref="O66:P66"/>
    <x:mergeCell ref="I52:K52"/>
    <x:mergeCell ref="F59:G59"/>
    <x:mergeCell ref="F58:G58"/>
    <x:mergeCell ref="L53:N53"/>
    <x:mergeCell ref="L54:N54"/>
    <x:mergeCell ref="L55:N55"/>
    <x:mergeCell ref="L56:N56"/>
    <x:mergeCell ref="L60:N60"/>
    <x:mergeCell ref="I62:N62"/>
    <x:mergeCell ref="J73:K73"/>
    <x:mergeCell ref="J69:K69"/>
    <x:mergeCell ref="I53:K53"/>
    <x:mergeCell ref="F57:G57"/>
    <x:mergeCell ref="F56:G56"/>
    <x:mergeCell ref="F55:G55"/>
    <x:mergeCell ref="F54:G54"/>
    <x:mergeCell ref="F53:G53"/>
    <x:mergeCell ref="J68:K68"/>
    <x:mergeCell ref="F70:G70"/>
    <x:mergeCell ref="F69:G69"/>
    <x:mergeCell ref="F68:G68"/>
    <x:mergeCell ref="F67:G67"/>
    <x:mergeCell ref="H66:H67"/>
    <x:mergeCell ref="E66:G66"/>
    <x:mergeCell ref="I58:K58"/>
    <x:mergeCell ref="J78:K78"/>
    <x:mergeCell ref="L99:N99"/>
    <x:mergeCell ref="L97:N97"/>
    <x:mergeCell ref="L96:N96"/>
    <x:mergeCell ref="L95:N95"/>
    <x:mergeCell ref="I99:K99"/>
    <x:mergeCell ref="J72:K72"/>
    <x:mergeCell ref="J80:K80"/>
    <x:mergeCell ref="J81:K81"/>
    <x:mergeCell ref="J76:K76"/>
    <x:mergeCell ref="E100:G100"/>
    <x:mergeCell ref="B66:B67"/>
    <x:mergeCell ref="M82:N82"/>
    <x:mergeCell ref="M81:N81"/>
    <x:mergeCell ref="I97:K97"/>
    <x:mergeCell ref="I96:K96"/>
    <x:mergeCell ref="I95:K95"/>
    <x:mergeCell ref="J85:K85"/>
    <x:mergeCell ref="J86:K86"/>
    <x:mergeCell ref="J82:K82"/>
    <x:mergeCell ref="J83:K83"/>
    <x:mergeCell ref="J84:K84"/>
    <x:mergeCell ref="M88:N88"/>
    <x:mergeCell ref="M87:N87"/>
    <x:mergeCell ref="M86:N86"/>
    <x:mergeCell ref="M85:N85"/>
    <x:mergeCell ref="M84:N84"/>
    <x:mergeCell ref="M83:N83"/>
    <x:mergeCell ref="M89:N89"/>
    <x:mergeCell ref="E97:F97"/>
    <x:mergeCell ref="E96:F96"/>
    <x:mergeCell ref="E95:F95"/>
    <x:mergeCell ref="F83:G83"/>
    <x:mergeCell ref="J87:K87"/>
    <x:mergeCell ref="T24:U24"/>
    <x:mergeCell ref="T25:U25"/>
    <x:mergeCell ref="T26:U26"/>
    <x:mergeCell ref="T27:U27"/>
    <x:mergeCell ref="T28:U28"/>
    <x:mergeCell ref="T29:U29"/>
    <x:mergeCell ref="T30:U30"/>
    <x:mergeCell ref="T31:U31"/>
    <x:mergeCell ref="T9:V9"/>
    <x:mergeCell ref="T15:U15"/>
    <x:mergeCell ref="T16:U16"/>
    <x:mergeCell ref="T17:U17"/>
    <x:mergeCell ref="T18:U18"/>
    <x:mergeCell ref="T19:U19"/>
    <x:mergeCell ref="T20:U20"/>
    <x:mergeCell ref="T21:U21"/>
    <x:mergeCell ref="T22:U22"/>
    <x:mergeCell ref="T23:U23"/>
    <x:mergeCell ref="T39:U39"/>
    <x:mergeCell ref="T38:V38"/>
    <x:mergeCell ref="T40:U40"/>
    <x:mergeCell ref="T41:U41"/>
    <x:mergeCell ref="T42:U42"/>
    <x:mergeCell ref="T43:U43"/>
    <x:mergeCell ref="T44:U44"/>
    <x:mergeCell ref="T45:U45"/>
    <x:mergeCell ref="T46:U46"/>
    <x:mergeCell ref="F84:G84"/>
    <x:mergeCell ref="T47:U47"/>
    <x:mergeCell ref="T48:U48"/>
    <x:mergeCell ref="T49:U49"/>
    <x:mergeCell ref="T50:U50"/>
    <x:mergeCell ref="T51:U51"/>
    <x:mergeCell ref="T52:U52"/>
    <x:mergeCell ref="T53:U53"/>
    <x:mergeCell ref="T54:U54"/>
    <x:mergeCell ref="T55:U55"/>
    <x:mergeCell ref="F79:G79"/>
    <x:mergeCell ref="F78:G78"/>
    <x:mergeCell ref="F77:G77"/>
    <x:mergeCell ref="F76:G76"/>
    <x:mergeCell ref="F75:G75"/>
    <x:mergeCell ref="F74:G74"/>
    <x:mergeCell ref="F73:G73"/>
    <x:mergeCell ref="F72:G72"/>
    <x:mergeCell ref="F71:G71"/>
    <x:mergeCell ref="J74:K74"/>
    <x:mergeCell ref="J75:K75"/>
    <x:mergeCell ref="J71:K71"/>
    <x:mergeCell ref="J79:K79"/>
    <x:mergeCell ref="J77:K77"/>
    <x:mergeCell ref="R65:R109"/>
    <x:mergeCell ref="G99:H99"/>
    <x:mergeCell ref="O95:P95"/>
    <x:mergeCell ref="O96:P96"/>
    <x:mergeCell ref="O97:P97"/>
    <x:mergeCell ref="O98:P98"/>
    <x:mergeCell ref="O99:P99"/>
    <x:mergeCell ref="AR66:AX66"/>
    <x:mergeCell ref="T56:U56"/>
    <x:mergeCell ref="T57:U57"/>
    <x:mergeCell ref="T58:U58"/>
    <x:mergeCell ref="T59:U59"/>
    <x:mergeCell ref="T60:U60"/>
    <x:mergeCell ref="T66:AD66"/>
    <x:mergeCell ref="AE66:AE67"/>
    <x:mergeCell ref="AQ66:AQ67"/>
    <x:mergeCell ref="AF66:AP66"/>
    <x:mergeCell ref="F82:G82"/>
    <x:mergeCell ref="F81:G81"/>
    <x:mergeCell ref="F80:G80"/>
    <x:mergeCell ref="F88:G88"/>
    <x:mergeCell ref="F87:G87"/>
    <x:mergeCell ref="F86:G86"/>
    <x:mergeCell ref="F85:G85"/>
  </x:mergeCells>
  <x:phoneticPr fontId="21" type="noConversion"/>
  <x:conditionalFormatting sqref="AG11:AG31">
    <x:cfRule type="cellIs" dxfId="377" priority="182" operator="equal">
      <x:formula>"Unacceptable Loss"</x:formula>
    </x:cfRule>
  </x:conditionalFormatting>
  <x:conditionalFormatting sqref="L11:M30">
    <x:cfRule type="expression" dxfId="376" priority="170">
      <x:formula>"p18=""Avoid"""</x:formula>
    </x:cfRule>
  </x:conditionalFormatting>
  <x:conditionalFormatting sqref="L11:M30">
    <x:cfRule type="cellIs" dxfId="375" priority="169" operator="equal">
      <x:formula>"Any loss Unacceptable"</x:formula>
    </x:cfRule>
  </x:conditionalFormatting>
  <x:conditionalFormatting sqref="L11:M30">
    <x:cfRule type="cellIs" dxfId="374" priority="168" operator="equal">
      <x:formula>"Any loss Unacceptable"</x:formula>
    </x:cfRule>
  </x:conditionalFormatting>
  <x:conditionalFormatting sqref="X11:X31">
    <x:cfRule type="cellIs" dxfId="373" priority="194" operator="equal">
      <x:formula>"Not Possible"</x:formula>
    </x:cfRule>
  </x:conditionalFormatting>
  <x:conditionalFormatting sqref="AG11:AG31">
    <x:cfRule type="cellIs" dxfId="372" priority="177" operator="equal">
      <x:formula>"Unacceptable Loss"</x:formula>
    </x:cfRule>
  </x:conditionalFormatting>
  <x:conditionalFormatting sqref="AG11:AG31">
    <x:cfRule type="cellIs" dxfId="371" priority="172" operator="equal">
      <x:formula>"Unacceptable Loss"</x:formula>
    </x:cfRule>
  </x:conditionalFormatting>
  <x:conditionalFormatting sqref="N11:N30">
    <x:cfRule type="containsText" dxfId="370" priority="17" operator="containsText" text="▲">
      <x:formula>NOT(ISERROR(SEARCH("▲",N11)))</x:formula>
    </x:cfRule>
    <x:cfRule type="cellIs" dxfId="369" priority="161" operator="equal">
      <x:formula>"Unacceptable Loss"</x:formula>
    </x:cfRule>
  </x:conditionalFormatting>
  <x:conditionalFormatting sqref="N11:N30">
    <x:cfRule type="cellIs" dxfId="368" priority="164" operator="equal">
      <x:formula>"Unacceptable Loss"</x:formula>
    </x:cfRule>
  </x:conditionalFormatting>
  <x:conditionalFormatting sqref="N11:N30">
    <x:cfRule type="cellIs" dxfId="367" priority="162" operator="equal">
      <x:formula>"Compensation Agreed"</x:formula>
    </x:cfRule>
    <x:cfRule type="cellIs" dxfId="366" priority="163" operator="equal">
      <x:formula>"Unacceptable Loss"</x:formula>
    </x:cfRule>
  </x:conditionalFormatting>
  <x:conditionalFormatting sqref="N11:N30">
    <x:cfRule type="cellIs" dxfId="365" priority="160" operator="equal">
      <x:formula>"Unacceptable Loss"</x:formula>
    </x:cfRule>
  </x:conditionalFormatting>
  <x:conditionalFormatting sqref="N11:N30">
    <x:cfRule type="cellIs" dxfId="364" priority="158" operator="equal">
      <x:formula>"Compensation Agreed"</x:formula>
    </x:cfRule>
    <x:cfRule type="cellIs" dxfId="363" priority="159" operator="equal">
      <x:formula>"Unacceptable Loss"</x:formula>
    </x:cfRule>
  </x:conditionalFormatting>
  <x:conditionalFormatting sqref="N11:N30">
    <x:cfRule type="cellIs" dxfId="362" priority="157" operator="equal">
      <x:formula>"Unacceptable Loss"</x:formula>
    </x:cfRule>
  </x:conditionalFormatting>
  <x:conditionalFormatting sqref="N11:N30">
    <x:cfRule type="cellIs" dxfId="361" priority="152" operator="equal">
      <x:formula>"Alternative Compensation"</x:formula>
    </x:cfRule>
  </x:conditionalFormatting>
  <x:conditionalFormatting sqref="L40:M59">
    <x:cfRule type="cellIs" dxfId="360" priority="145" operator="equal">
      <x:formula>"Unacceptable Loss"</x:formula>
    </x:cfRule>
  </x:conditionalFormatting>
  <x:conditionalFormatting sqref="L40:M59">
    <x:cfRule type="cellIs" dxfId="359" priority="143" operator="equal">
      <x:formula>"Compensation Agreed"</x:formula>
    </x:cfRule>
    <x:cfRule type="cellIs" dxfId="358" priority="144" operator="equal">
      <x:formula>"Unacceptable Loss"</x:formula>
    </x:cfRule>
  </x:conditionalFormatting>
  <x:conditionalFormatting sqref="L40:M59">
    <x:cfRule type="cellIs" dxfId="357" priority="142" operator="equal">
      <x:formula>"Unacceptable Loss"</x:formula>
    </x:cfRule>
  </x:conditionalFormatting>
  <x:conditionalFormatting sqref="L40:M59">
    <x:cfRule type="cellIs" dxfId="356" priority="141" operator="equal">
      <x:formula>"Unacceptable Loss"</x:formula>
    </x:cfRule>
  </x:conditionalFormatting>
  <x:conditionalFormatting sqref="L40:M59">
    <x:cfRule type="cellIs" dxfId="355" priority="139" operator="equal">
      <x:formula>"Compensation Agreed"</x:formula>
    </x:cfRule>
    <x:cfRule type="cellIs" dxfId="354" priority="140" operator="equal">
      <x:formula>"Unacceptable Loss"</x:formula>
    </x:cfRule>
  </x:conditionalFormatting>
  <x:conditionalFormatting sqref="L40:M59">
    <x:cfRule type="cellIs" dxfId="353" priority="138" operator="equal">
      <x:formula>"Unacceptable Loss"</x:formula>
    </x:cfRule>
  </x:conditionalFormatting>
  <x:conditionalFormatting sqref="L40:M59">
    <x:cfRule type="cellIs" dxfId="352" priority="137" operator="equal">
      <x:formula>"Alternative Compensation"</x:formula>
    </x:cfRule>
  </x:conditionalFormatting>
  <x:conditionalFormatting sqref="I114:I133">
    <x:cfRule type="containsText" dxfId="351" priority="108" operator="containsText" text="Yes">
      <x:formula>NOT(ISERROR(SEARCH("Yes",I114)))</x:formula>
    </x:cfRule>
    <x:cfRule type="containsText" dxfId="350" priority="110" operator="containsText" text="No">
      <x:formula>NOT(ISERROR(SEARCH("No",I114)))</x:formula>
    </x:cfRule>
  </x:conditionalFormatting>
  <x:conditionalFormatting sqref="I138:I139">
    <x:cfRule type="containsText" dxfId="349" priority="106" operator="containsText" text="Yes">
      <x:formula>NOT(ISERROR(SEARCH("Yes",I138)))</x:formula>
    </x:cfRule>
    <x:cfRule type="containsText" dxfId="348" priority="107" operator="containsText" text="No">
      <x:formula>NOT(ISERROR(SEARCH("No",I138)))</x:formula>
    </x:cfRule>
  </x:conditionalFormatting>
  <x:conditionalFormatting sqref="E108:E109">
    <x:cfRule type="containsText" dxfId="347" priority="104" operator="containsText" text="Trading Rules Satisfied">
      <x:formula>NOT(ISERROR(SEARCH("Trading Rules Satisfied",E108)))</x:formula>
    </x:cfRule>
    <x:cfRule type="containsText" dxfId="346" priority="105" operator="containsText" text="Error - Trading Rules Not Satisfied">
      <x:formula>NOT(ISERROR(SEARCH("Error - Trading Rules Not Satisfied",E108)))</x:formula>
    </x:cfRule>
  </x:conditionalFormatting>
  <x:conditionalFormatting sqref="I140">
    <x:cfRule type="containsText" dxfId="345" priority="102" operator="containsText" text="Yes">
      <x:formula>NOT(ISERROR(SEARCH("Yes",I140)))</x:formula>
    </x:cfRule>
    <x:cfRule type="containsText" dxfId="344" priority="103" operator="containsText" text="No">
      <x:formula>NOT(ISERROR(SEARCH("No",I140)))</x:formula>
    </x:cfRule>
  </x:conditionalFormatting>
  <x:conditionalFormatting sqref="L60:M60">
    <x:cfRule type="cellIs" dxfId="343" priority="101" operator="equal">
      <x:formula>"Unacceptable Loss"</x:formula>
    </x:cfRule>
  </x:conditionalFormatting>
  <x:conditionalFormatting sqref="L60:M60">
    <x:cfRule type="cellIs" dxfId="342" priority="99" operator="equal">
      <x:formula>"Compensation Agreed"</x:formula>
    </x:cfRule>
    <x:cfRule type="cellIs" dxfId="341" priority="100" operator="equal">
      <x:formula>"Unacceptable Loss"</x:formula>
    </x:cfRule>
  </x:conditionalFormatting>
  <x:conditionalFormatting sqref="L60:M60">
    <x:cfRule type="cellIs" dxfId="340" priority="98" operator="equal">
      <x:formula>"Unacceptable Loss"</x:formula>
    </x:cfRule>
  </x:conditionalFormatting>
  <x:conditionalFormatting sqref="L60:M60">
    <x:cfRule type="cellIs" dxfId="339" priority="97" operator="equal">
      <x:formula>"Unacceptable Loss"</x:formula>
    </x:cfRule>
  </x:conditionalFormatting>
  <x:conditionalFormatting sqref="L60:M60">
    <x:cfRule type="cellIs" dxfId="338" priority="95" operator="equal">
      <x:formula>"Compensation Agreed"</x:formula>
    </x:cfRule>
    <x:cfRule type="cellIs" dxfId="337" priority="96" operator="equal">
      <x:formula>"Unacceptable Loss"</x:formula>
    </x:cfRule>
  </x:conditionalFormatting>
  <x:conditionalFormatting sqref="L60:M60">
    <x:cfRule type="cellIs" dxfId="336" priority="94" operator="equal">
      <x:formula>"Unacceptable Loss"</x:formula>
    </x:cfRule>
  </x:conditionalFormatting>
  <x:conditionalFormatting sqref="L60:M60">
    <x:cfRule type="cellIs" dxfId="335" priority="93" operator="equal">
      <x:formula>"Alternative Compensation"</x:formula>
    </x:cfRule>
  </x:conditionalFormatting>
  <x:conditionalFormatting sqref="L31:M31">
    <x:cfRule type="cellIs" dxfId="334" priority="92" operator="equal">
      <x:formula>"Unacceptable Loss"</x:formula>
    </x:cfRule>
  </x:conditionalFormatting>
  <x:conditionalFormatting sqref="L31:M31">
    <x:cfRule type="cellIs" dxfId="333" priority="90" operator="equal">
      <x:formula>"Compensation Agreed"</x:formula>
    </x:cfRule>
    <x:cfRule type="cellIs" dxfId="332" priority="91" operator="equal">
      <x:formula>"Unacceptable Loss"</x:formula>
    </x:cfRule>
  </x:conditionalFormatting>
  <x:conditionalFormatting sqref="L31:M31">
    <x:cfRule type="cellIs" dxfId="331" priority="89" operator="equal">
      <x:formula>"Unacceptable Loss"</x:formula>
    </x:cfRule>
  </x:conditionalFormatting>
  <x:conditionalFormatting sqref="L31:M31">
    <x:cfRule type="cellIs" dxfId="330" priority="88" operator="equal">
      <x:formula>"Unacceptable Loss"</x:formula>
    </x:cfRule>
  </x:conditionalFormatting>
  <x:conditionalFormatting sqref="L31:M31">
    <x:cfRule type="cellIs" dxfId="329" priority="86" operator="equal">
      <x:formula>"Compensation Agreed"</x:formula>
    </x:cfRule>
    <x:cfRule type="cellIs" dxfId="328" priority="87" operator="equal">
      <x:formula>"Unacceptable Loss"</x:formula>
    </x:cfRule>
  </x:conditionalFormatting>
  <x:conditionalFormatting sqref="L31:M31">
    <x:cfRule type="cellIs" dxfId="327" priority="85" operator="equal">
      <x:formula>"Unacceptable Loss"</x:formula>
    </x:cfRule>
  </x:conditionalFormatting>
  <x:conditionalFormatting sqref="L31:M31">
    <x:cfRule type="cellIs" dxfId="326" priority="84" operator="equal">
      <x:formula>"Alternative Compensation"</x:formula>
    </x:cfRule>
  </x:conditionalFormatting>
  <x:conditionalFormatting sqref="O6:P6 J2">
    <x:cfRule type="containsText" dxfId="325" priority="40" operator="containsText" text="Errors Present On Sheet">
      <x:formula>NOT(ISERROR(SEARCH("Errors Present On Sheet",J2)))</x:formula>
    </x:cfRule>
  </x:conditionalFormatting>
  <x:conditionalFormatting sqref="X40:X60">
    <x:cfRule type="cellIs" dxfId="324" priority="80" operator="equal">
      <x:formula>"Not Possible"</x:formula>
    </x:cfRule>
  </x:conditionalFormatting>
  <x:conditionalFormatting sqref="I89">
    <x:cfRule type="expression" dxfId="323" priority="79">
      <x:formula>"p18=""Avoid"""</x:formula>
    </x:cfRule>
  </x:conditionalFormatting>
  <x:conditionalFormatting sqref="I89">
    <x:cfRule type="cellIs" dxfId="322" priority="78" operator="equal">
      <x:formula>"Any loss Unacceptable"</x:formula>
    </x:cfRule>
  </x:conditionalFormatting>
  <x:conditionalFormatting sqref="I89">
    <x:cfRule type="cellIs" dxfId="321" priority="77" operator="equal">
      <x:formula>"Any loss Unacceptable"</x:formula>
    </x:cfRule>
  </x:conditionalFormatting>
  <x:conditionalFormatting sqref="L89">
    <x:cfRule type="expression" dxfId="320" priority="76">
      <x:formula>"p18=""Avoid"""</x:formula>
    </x:cfRule>
  </x:conditionalFormatting>
  <x:conditionalFormatting sqref="L89">
    <x:cfRule type="cellIs" dxfId="319" priority="75" operator="equal">
      <x:formula>"Any loss Unacceptable"</x:formula>
    </x:cfRule>
  </x:conditionalFormatting>
  <x:conditionalFormatting sqref="L89">
    <x:cfRule type="cellIs" dxfId="318" priority="74" operator="equal">
      <x:formula>"Any loss Unacceptable"</x:formula>
    </x:cfRule>
  </x:conditionalFormatting>
  <x:conditionalFormatting sqref="AJ68:AJ88">
    <x:cfRule type="cellIs" dxfId="317" priority="72" operator="equal">
      <x:formula>"Not Possible"</x:formula>
    </x:cfRule>
  </x:conditionalFormatting>
  <x:conditionalFormatting sqref="F40">
    <x:cfRule type="containsBlanks" dxfId="316" priority="196" stopIfTrue="1">
      <x:formula>LEN(TRIM(F40))=0</x:formula>
    </x:cfRule>
    <x:cfRule type="expression" dxfId="315" priority="197">
      <x:formula>ISNUMBER(SEARCH(F40,E40,1))</x:formula>
    </x:cfRule>
  </x:conditionalFormatting>
  <x:conditionalFormatting sqref="L68:M88">
    <x:cfRule type="cellIs" dxfId="314" priority="59" operator="equal">
      <x:formula>"Unacceptable Loss"</x:formula>
    </x:cfRule>
  </x:conditionalFormatting>
  <x:conditionalFormatting sqref="L68:M88">
    <x:cfRule type="cellIs" dxfId="313" priority="57" operator="equal">
      <x:formula>"Compensation Agreed"</x:formula>
    </x:cfRule>
    <x:cfRule type="cellIs" dxfId="312" priority="58" operator="equal">
      <x:formula>"Unacceptable Loss"</x:formula>
    </x:cfRule>
  </x:conditionalFormatting>
  <x:conditionalFormatting sqref="L68:M88">
    <x:cfRule type="cellIs" dxfId="311" priority="56" operator="equal">
      <x:formula>"Unacceptable Loss"</x:formula>
    </x:cfRule>
  </x:conditionalFormatting>
  <x:conditionalFormatting sqref="L68:M88">
    <x:cfRule type="cellIs" dxfId="310" priority="55" operator="equal">
      <x:formula>"Unacceptable Loss"</x:formula>
    </x:cfRule>
  </x:conditionalFormatting>
  <x:conditionalFormatting sqref="L68:M88">
    <x:cfRule type="cellIs" dxfId="309" priority="53" operator="equal">
      <x:formula>"Compensation Agreed"</x:formula>
    </x:cfRule>
    <x:cfRule type="cellIs" dxfId="308" priority="54" operator="equal">
      <x:formula>"Unacceptable Loss"</x:formula>
    </x:cfRule>
  </x:conditionalFormatting>
  <x:conditionalFormatting sqref="L68:M88">
    <x:cfRule type="cellIs" dxfId="307" priority="52" operator="equal">
      <x:formula>"Unacceptable Loss"</x:formula>
    </x:cfRule>
  </x:conditionalFormatting>
  <x:conditionalFormatting sqref="L68:M88">
    <x:cfRule type="cellIs" dxfId="306" priority="51" operator="equal">
      <x:formula>"Alternative Compensation"</x:formula>
    </x:cfRule>
  </x:conditionalFormatting>
  <x:conditionalFormatting sqref="K11:K30">
    <x:cfRule type="expression" dxfId="305" priority="50">
      <x:formula>$AI11="Enhancement not possible"</x:formula>
    </x:cfRule>
  </x:conditionalFormatting>
  <x:conditionalFormatting sqref="I33:N35">
    <x:cfRule type="containsText" dxfId="304" priority="43" operator="containsText" text="error">
      <x:formula>NOT(ISERROR(SEARCH("error",I33)))</x:formula>
    </x:cfRule>
    <x:cfRule type="containsText" dxfId="303" priority="44" operator="containsText" text="acceptable">
      <x:formula>NOT(ISERROR(SEARCH("acceptable",I33)))</x:formula>
    </x:cfRule>
  </x:conditionalFormatting>
  <x:conditionalFormatting sqref="I62:N62">
    <x:cfRule type="containsText" dxfId="302" priority="41" operator="containsText" text="error">
      <x:formula>NOT(ISERROR(SEARCH("error",I62)))</x:formula>
    </x:cfRule>
    <x:cfRule type="containsText" dxfId="301" priority="42" operator="containsText" text="acceptable">
      <x:formula>NOT(ISERROR(SEARCH("acceptable",I62)))</x:formula>
    </x:cfRule>
  </x:conditionalFormatting>
  <x:conditionalFormatting sqref="J2">
    <x:cfRule type="containsText" dxfId="300" priority="12" operator="containsText" text="Technical">
      <x:formula>NOT(ISERROR(SEARCH("Technical",J2)))</x:formula>
    </x:cfRule>
  </x:conditionalFormatting>
  <x:conditionalFormatting sqref="M11:M30">
    <x:cfRule type="containsText" dxfId="299" priority="39" operator="containsText" text="error">
      <x:formula>NOT(ISERROR(SEARCH("error",M11)))</x:formula>
    </x:cfRule>
  </x:conditionalFormatting>
  <x:conditionalFormatting sqref="F41:F43">
    <x:cfRule type="containsBlanks" dxfId="298" priority="200" stopIfTrue="1">
      <x:formula>LEN(TRIM(F41))=0</x:formula>
    </x:cfRule>
    <x:cfRule type="expression" dxfId="297" priority="201">
      <x:formula>ISNUMBER(SEARCH(F41,E41,1))</x:formula>
    </x:cfRule>
  </x:conditionalFormatting>
  <x:conditionalFormatting sqref="F44:F59">
    <x:cfRule type="containsBlanks" dxfId="296" priority="37" stopIfTrue="1">
      <x:formula>LEN(TRIM(F44))=0</x:formula>
    </x:cfRule>
    <x:cfRule type="expression" dxfId="295" priority="38">
      <x:formula>ISNUMBER(SEARCH(F44,E44,1))</x:formula>
    </x:cfRule>
  </x:conditionalFormatting>
  <x:conditionalFormatting sqref="H88">
    <x:cfRule type="expression" dxfId="294" priority="25">
      <x:formula>$D88=""</x:formula>
    </x:cfRule>
  </x:conditionalFormatting>
  <x:conditionalFormatting sqref="E68:E88">
    <x:cfRule type="cellIs" dxfId="293" priority="22" operator="equal">
      <x:formula>"Enhancement not possible"</x:formula>
    </x:cfRule>
  </x:conditionalFormatting>
  <x:conditionalFormatting sqref="F68:G87">
    <x:cfRule type="containsText" dxfId="292" priority="4" operator="containsText" text="not possible">
      <x:formula>NOT(ISERROR(SEARCH("not possible",F68)))</x:formula>
    </x:cfRule>
    <x:cfRule type="expression" dxfId="291" priority="21">
      <x:formula>$D68=""</x:formula>
    </x:cfRule>
  </x:conditionalFormatting>
  <x:conditionalFormatting sqref="N11:N30">
    <x:cfRule type="containsText" dxfId="290" priority="20" operator="containsText" text="error">
      <x:formula>NOT(ISERROR(SEARCH("error",N11)))</x:formula>
    </x:cfRule>
  </x:conditionalFormatting>
  <x:conditionalFormatting sqref="L11:L30">
    <x:cfRule type="containsText" dxfId="289" priority="19" operator="containsText" text="value">
      <x:formula>NOT(ISERROR(SEARCH("value",L11)))</x:formula>
    </x:cfRule>
  </x:conditionalFormatting>
  <x:conditionalFormatting sqref="L11:L30">
    <x:cfRule type="containsText" dxfId="288" priority="13" operator="containsText" text="▲">
      <x:formula>NOT(ISERROR(SEARCH("▲",L11)))</x:formula>
    </x:cfRule>
  </x:conditionalFormatting>
  <x:conditionalFormatting sqref="L40:N59">
    <x:cfRule type="containsText" dxfId="287" priority="15" operator="containsText" text="▲">
      <x:formula>NOT(ISERROR(SEARCH("▲",L40)))</x:formula>
    </x:cfRule>
    <x:cfRule type="containsText" dxfId="286" priority="16" operator="containsText" text="value">
      <x:formula>NOT(ISERROR(SEARCH("value",L40)))</x:formula>
    </x:cfRule>
  </x:conditionalFormatting>
  <x:conditionalFormatting sqref="L68:L88">
    <x:cfRule type="containsText" dxfId="285" priority="14" operator="containsText" text="▲">
      <x:formula>NOT(ISERROR(SEARCH("▲",L68)))</x:formula>
    </x:cfRule>
  </x:conditionalFormatting>
  <x:conditionalFormatting sqref="E100:G100">
    <x:cfRule type="containsText" dxfId="284" priority="11" operator="containsText" text="Error">
      <x:formula>NOT(ISERROR(SEARCH("Error",E100)))</x:formula>
    </x:cfRule>
  </x:conditionalFormatting>
  <x:conditionalFormatting sqref="L95:N97">
    <x:cfRule type="containsText" dxfId="283" priority="10" operator="containsText" text="Error">
      <x:formula>NOT(ISERROR(SEARCH("Error",L95)))</x:formula>
    </x:cfRule>
  </x:conditionalFormatting>
  <x:conditionalFormatting sqref="I134:I135">
    <x:cfRule type="containsText" dxfId="282" priority="8" operator="containsText" text="Yes">
      <x:formula>NOT(ISERROR(SEARCH("Yes",I134)))</x:formula>
    </x:cfRule>
    <x:cfRule type="containsText" dxfId="281" priority="9" operator="containsText" text="No">
      <x:formula>NOT(ISERROR(SEARCH("No",I134)))</x:formula>
    </x:cfRule>
  </x:conditionalFormatting>
  <x:conditionalFormatting sqref="P1:P5">
    <x:cfRule type="containsText" dxfId="280" priority="7" operator="containsText" text="Error ▲">
      <x:formula>NOT(ISERROR(SEARCH("Error ▲",P1)))</x:formula>
    </x:cfRule>
  </x:conditionalFormatting>
  <x:conditionalFormatting sqref="M68:N87">
    <x:cfRule type="containsText" dxfId="279" priority="6" operator="containsText" text="Error ▲">
      <x:formula>NOT(ISERROR(SEARCH("Error ▲",M68)))</x:formula>
    </x:cfRule>
  </x:conditionalFormatting>
  <x:conditionalFormatting sqref="J68:K87">
    <x:cfRule type="containsText" dxfId="278" priority="5" operator="containsText" text="Error ▲">
      <x:formula>NOT(ISERROR(SEARCH("Error ▲",J68)))</x:formula>
    </x:cfRule>
  </x:conditionalFormatting>
  <x:conditionalFormatting sqref="E95:F97">
    <x:cfRule type="cellIs" dxfId="277" priority="205" operator="greaterThan">
      <x:formula>$D95</x:formula>
    </x:cfRule>
  </x:conditionalFormatting>
  <x:conditionalFormatting sqref="L98:N98">
    <x:cfRule type="containsText" dxfId="276" priority="1" operator="containsText" text="Error">
      <x:formula>NOT(ISERROR(SEARCH("Error",L98)))</x:formula>
    </x:cfRule>
  </x:conditionalFormatting>
  <x:conditionalFormatting sqref="E98:F98">
    <x:cfRule type="cellIs" dxfId="275" priority="3" operator="greaterThan">
      <x:formula>$D98</x:formula>
    </x:cfRule>
  </x:conditionalFormatting>
  <x:dataValidations count="3">
    <x:dataValidation type="list" allowBlank="1" showInputMessage="1" showErrorMessage="1" sqref="D40:D59 D11:E30" xr:uid="{29295E1B-B708-4FFC-AEA7-0A542EBB8F9C}">
      <x:formula1>INDIRECT(SUBSTITUTE(C11," ",""))</x:formula1>
    </x:dataValidation>
    <x:dataValidation type="list" allowBlank="1" showInputMessage="1" showErrorMessage="1" sqref="BX63" xr:uid="{CA39F4B1-099E-4977-996D-6C6132E5EF56}">
      <x:formula1>INDIRECT("BV68:BV"&amp;BV63+67)</x:formula1>
    </x:dataValidation>
    <x:dataValidation type="list" allowBlank="1" showInputMessage="1" showErrorMessage="1" sqref="F68:G87" xr:uid="{D9BE6C4E-D2E3-4727-A306-B5E377667653}">
      <x:formula1>INDIRECT(BV68)</x:formula1>
    </x:dataValidation>
  </x:dataValidations>
  <x:pageMargins left="0.7" right="0.7" top="0.75" bottom="0.75" header="0.3" footer="0.3"/>
  <x:pageSetup paperSize="9" scale="22" orientation="portrait" r:id="rId1"/>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x14ac:dyDescent="0.3"/>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77734375" customWidth="1"/>
    <col min="8" max="8" width="49.21875" bestFit="1"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7773437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2"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65.77734375" bestFit="1" customWidth="1"/>
    <col min="35" max="35" width="207" bestFit="1" customWidth="1"/>
    <col min="36" max="36" width="23.5546875" customWidth="1"/>
    <col min="37" max="37" width="23.5546875" hidden="1" customWidth="1"/>
    <col min="38" max="38" width="16.77734375" hidden="1" customWidth="1"/>
    <col min="39" max="39" width="13.21875" hidden="1" customWidth="1"/>
    <col min="40" max="40" width="12.2187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77734375" customWidth="1"/>
    <col min="54" max="73" width="31.77734375" customWidth="1"/>
    <col min="74" max="74" width="15.5546875" customWidth="1"/>
    <col min="75" max="80" width="8.77734375" customWidth="1"/>
    <col min="81" max="16384" width="8.77734375" hidden="1"/>
  </cols>
  <sheetData>
    <row r="1" spans="1:35" s="25" customFormat="1" ht="15.75" customHeight="1" thickBot="1" x14ac:dyDescent="0.35">
      <c r="I1" s="52"/>
      <c r="J1" s="52"/>
      <c r="K1" s="52"/>
      <c r="L1" s="52"/>
      <c r="M1" s="52"/>
      <c r="N1" s="52"/>
      <c r="O1" s="154" t="s">
        <v>54</v>
      </c>
      <c r="P1" s="277">
        <f>IFERROR(SUM(AE11:AE30), "Error ▲")</f>
        <v>0</v>
      </c>
      <c r="R1" s="652" t="s">
        <v>55</v>
      </c>
      <c r="T1" s="26"/>
    </row>
    <row r="2" spans="1:35" s="25" customFormat="1" ht="19.95" customHeight="1" x14ac:dyDescent="0.35">
      <c r="B2" s="80" t="s">
        <v>56</v>
      </c>
      <c r="C2" s="826" t="str">
        <f>IF('2. Site Details'!D4="","Enter site name on 2. Site Details",'2. Site Details'!D4)</f>
        <v>Enter site name on 2. Site Details</v>
      </c>
      <c r="D2" s="827"/>
      <c r="F2" s="771" t="s">
        <v>218</v>
      </c>
      <c r="G2" s="772"/>
      <c r="H2" s="773"/>
      <c r="I2" s="52"/>
      <c r="J2" s="785" t="str" cm="1">
        <f t="array" aca="1" ref="J2" ca="1">IFERROR(IF(OR((ISNUMBER(SEARCH("▲",A7:Q101)))),"Input Errors Present On Sheet - Red Cells Or ▲ Highlight Errors","All Key Rules Satisfied ✓ "),"Technical Errors On Sheet ▲")</f>
        <v xml:space="preserve">All Key Rules Satisfied ✓ </v>
      </c>
      <c r="K2" s="785"/>
      <c r="L2" s="785"/>
      <c r="M2" s="785"/>
      <c r="N2" s="81"/>
      <c r="O2" s="83" t="s">
        <v>58</v>
      </c>
      <c r="P2" s="277">
        <f>IFERROR(N31, "Error ▲")</f>
        <v>0</v>
      </c>
      <c r="R2" s="652"/>
      <c r="T2" s="26"/>
    </row>
    <row r="3" spans="1:35" s="25" customFormat="1" ht="19.95" customHeight="1" thickBot="1" x14ac:dyDescent="0.4">
      <c r="B3" s="82" t="s">
        <v>13</v>
      </c>
      <c r="C3" s="828" t="s">
        <v>219</v>
      </c>
      <c r="D3" s="829"/>
      <c r="F3" s="774"/>
      <c r="G3" s="775"/>
      <c r="H3" s="776"/>
      <c r="I3" s="52"/>
      <c r="J3" s="785"/>
      <c r="K3" s="785"/>
      <c r="L3" s="785"/>
      <c r="M3" s="785"/>
      <c r="N3" s="81"/>
      <c r="O3" s="83" t="s">
        <v>60</v>
      </c>
      <c r="P3" s="277">
        <f>IFERROR(L59, "Error ▲")</f>
        <v>0</v>
      </c>
      <c r="R3" s="652"/>
      <c r="T3" s="26"/>
    </row>
    <row r="4" spans="1:35" s="25" customFormat="1" ht="19.95" customHeight="1" x14ac:dyDescent="0.3">
      <c r="B4" s="84"/>
      <c r="C4" s="84"/>
      <c r="D4" s="84"/>
      <c r="F4" s="774"/>
      <c r="G4" s="775"/>
      <c r="H4" s="776"/>
      <c r="I4" s="52"/>
      <c r="J4" s="785"/>
      <c r="K4" s="785"/>
      <c r="L4" s="785"/>
      <c r="M4" s="785"/>
      <c r="N4" s="81"/>
      <c r="O4" s="83" t="s">
        <v>61</v>
      </c>
      <c r="P4" s="277">
        <f>IFERROR(L86, "Error ▲")</f>
        <v>0</v>
      </c>
      <c r="R4" s="652"/>
      <c r="T4" s="26"/>
    </row>
    <row r="5" spans="1:35" s="25" customFormat="1" ht="19.95" customHeight="1" thickBot="1" x14ac:dyDescent="0.35">
      <c r="A5" s="85"/>
      <c r="F5" s="774"/>
      <c r="G5" s="775"/>
      <c r="H5" s="776"/>
      <c r="I5" s="52"/>
      <c r="J5" s="785"/>
      <c r="K5" s="785"/>
      <c r="L5" s="785"/>
      <c r="M5" s="785"/>
      <c r="N5" s="81"/>
      <c r="O5" s="86" t="s">
        <v>62</v>
      </c>
      <c r="P5" s="278">
        <f>IFERROR(P1+L59+L86-L31, "Error ▲")</f>
        <v>0</v>
      </c>
      <c r="R5" s="652"/>
      <c r="T5" s="26"/>
    </row>
    <row r="6" spans="1:35" s="25" customFormat="1" ht="13.2" customHeight="1" thickBot="1" x14ac:dyDescent="0.35">
      <c r="A6" s="85"/>
      <c r="F6" s="777"/>
      <c r="G6" s="778"/>
      <c r="H6" s="779"/>
      <c r="I6" s="52"/>
      <c r="J6" s="52"/>
      <c r="K6" s="52"/>
      <c r="L6" s="52"/>
      <c r="M6" s="52"/>
      <c r="N6" s="52"/>
      <c r="O6" s="87"/>
      <c r="P6" s="87"/>
      <c r="R6" s="652"/>
      <c r="T6" s="26"/>
    </row>
    <row r="7" spans="1:35" s="25" customFormat="1" ht="19.2" customHeight="1" x14ac:dyDescent="0.4">
      <c r="B7" s="57" t="s">
        <v>63</v>
      </c>
      <c r="D7" s="88"/>
      <c r="H7" s="26"/>
      <c r="K7" s="26"/>
      <c r="L7" s="30"/>
      <c r="M7" s="30"/>
      <c r="N7" s="30"/>
      <c r="R7" s="652"/>
      <c r="T7" s="26"/>
    </row>
    <row r="8" spans="1:35" s="25" customFormat="1" ht="10.95" customHeight="1" thickBot="1" x14ac:dyDescent="0.35">
      <c r="A8" s="89"/>
      <c r="R8" s="652"/>
    </row>
    <row r="9" spans="1:35" s="25" customFormat="1" ht="29.55" customHeight="1" x14ac:dyDescent="0.3">
      <c r="A9" s="89"/>
      <c r="B9" s="734" t="s">
        <v>49</v>
      </c>
      <c r="C9" s="723" t="s">
        <v>64</v>
      </c>
      <c r="D9" s="724"/>
      <c r="E9" s="725"/>
      <c r="F9" s="755" t="s">
        <v>65</v>
      </c>
      <c r="G9" s="756"/>
      <c r="H9" s="757"/>
      <c r="I9" s="723" t="s">
        <v>220</v>
      </c>
      <c r="J9" s="724"/>
      <c r="K9" s="725"/>
      <c r="L9" s="752" t="s">
        <v>67</v>
      </c>
      <c r="M9" s="753"/>
      <c r="N9" s="754"/>
      <c r="O9" s="752" t="s">
        <v>68</v>
      </c>
      <c r="P9" s="754"/>
      <c r="R9" s="652"/>
      <c r="T9" s="680" t="s">
        <v>69</v>
      </c>
      <c r="U9" s="681"/>
      <c r="V9" s="913"/>
      <c r="W9" s="680" t="s">
        <v>70</v>
      </c>
      <c r="X9" s="682"/>
      <c r="Y9" s="762"/>
      <c r="Z9" s="762"/>
      <c r="AA9" s="762"/>
      <c r="AB9" s="761" t="s">
        <v>71</v>
      </c>
      <c r="AC9" s="681"/>
      <c r="AD9" s="682"/>
      <c r="AE9" s="680" t="s">
        <v>72</v>
      </c>
      <c r="AF9" s="681"/>
      <c r="AG9" s="682"/>
      <c r="AH9" s="680" t="s">
        <v>73</v>
      </c>
      <c r="AI9" s="682" t="s">
        <v>74</v>
      </c>
    </row>
    <row r="10" spans="1:35" s="25" customFormat="1" ht="32.549999999999997" customHeight="1" thickBot="1" x14ac:dyDescent="0.35">
      <c r="A10" s="89"/>
      <c r="B10" s="735"/>
      <c r="C10" s="86" t="s">
        <v>75</v>
      </c>
      <c r="D10" s="770" t="s">
        <v>76</v>
      </c>
      <c r="E10" s="906"/>
      <c r="F10" s="758"/>
      <c r="G10" s="759"/>
      <c r="H10" s="760"/>
      <c r="I10" s="86" t="s">
        <v>221</v>
      </c>
      <c r="J10" s="197" t="s">
        <v>222</v>
      </c>
      <c r="K10" s="90" t="s">
        <v>223</v>
      </c>
      <c r="L10" s="392" t="s">
        <v>224</v>
      </c>
      <c r="M10" s="393" t="s">
        <v>225</v>
      </c>
      <c r="N10" s="394" t="s">
        <v>82</v>
      </c>
      <c r="O10" s="86" t="s">
        <v>83</v>
      </c>
      <c r="P10" s="90" t="s">
        <v>84</v>
      </c>
      <c r="R10" s="652"/>
      <c r="T10" s="678" t="s">
        <v>85</v>
      </c>
      <c r="U10" s="679"/>
      <c r="V10" s="341" t="s">
        <v>86</v>
      </c>
      <c r="W10" s="91" t="s">
        <v>87</v>
      </c>
      <c r="X10" s="92" t="s">
        <v>86</v>
      </c>
      <c r="Y10" s="346"/>
      <c r="Z10" s="346"/>
      <c r="AA10" s="346"/>
      <c r="AB10" s="334" t="s">
        <v>71</v>
      </c>
      <c r="AC10" s="49" t="s">
        <v>71</v>
      </c>
      <c r="AD10" s="92" t="s">
        <v>88</v>
      </c>
      <c r="AE10" s="91" t="s">
        <v>89</v>
      </c>
      <c r="AF10" s="49" t="s">
        <v>90</v>
      </c>
      <c r="AG10" s="92" t="s">
        <v>91</v>
      </c>
      <c r="AH10" s="678"/>
      <c r="AI10" s="905"/>
    </row>
    <row r="11" spans="1:35" s="25" customFormat="1" ht="28.8" x14ac:dyDescent="0.3">
      <c r="A11" s="89"/>
      <c r="B11" s="270">
        <v>1</v>
      </c>
      <c r="C11" s="551" t="s">
        <v>226</v>
      </c>
      <c r="D11" s="881"/>
      <c r="E11" s="882"/>
      <c r="F11" s="907"/>
      <c r="G11" s="908"/>
      <c r="H11" s="909"/>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2"/>
      <c r="T11" s="661" t="str">
        <f>IF(D11="","",VLOOKUP(D11,'9. All Habitats + Multipliers'!$C$4:$K$102,5,FALSE))</f>
        <v/>
      </c>
      <c r="U11" s="662"/>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8.8" x14ac:dyDescent="0.3">
      <c r="B12" s="264">
        <v>2</v>
      </c>
      <c r="C12" s="551" t="s">
        <v>226</v>
      </c>
      <c r="D12" s="670"/>
      <c r="E12" s="671"/>
      <c r="F12" s="910"/>
      <c r="G12" s="911"/>
      <c r="H12" s="912"/>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2"/>
      <c r="T12" s="661" t="str">
        <f>IF(D12="","",VLOOKUP(D12,'9. All Habitats + Multipliers'!$C$4:$K$102,5,FALSE))</f>
        <v/>
      </c>
      <c r="U12" s="662"/>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x14ac:dyDescent="0.3">
      <c r="B13" s="264">
        <v>3</v>
      </c>
      <c r="C13" s="551" t="s">
        <v>226</v>
      </c>
      <c r="D13" s="670"/>
      <c r="E13" s="671"/>
      <c r="F13" s="910"/>
      <c r="G13" s="911"/>
      <c r="H13" s="912"/>
      <c r="I13" s="305"/>
      <c r="J13" s="306"/>
      <c r="K13" s="307"/>
      <c r="L13" s="294" t="str">
        <f t="shared" si="0"/>
        <v/>
      </c>
      <c r="M13" s="301" t="str">
        <f t="shared" si="1"/>
        <v/>
      </c>
      <c r="N13" s="290" t="str">
        <f t="shared" si="2"/>
        <v/>
      </c>
      <c r="O13" s="286"/>
      <c r="P13" s="3"/>
      <c r="R13" s="652"/>
      <c r="T13" s="661" t="str">
        <f>IF(D13="","",VLOOKUP(D13,'9. All Habitats + Multipliers'!$C$4:$K$102,5,FALSE))</f>
        <v/>
      </c>
      <c r="U13" s="662"/>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x14ac:dyDescent="0.3">
      <c r="B14" s="264">
        <v>4</v>
      </c>
      <c r="C14" s="551" t="s">
        <v>226</v>
      </c>
      <c r="D14" s="670"/>
      <c r="E14" s="671"/>
      <c r="F14" s="910"/>
      <c r="G14" s="911"/>
      <c r="H14" s="912"/>
      <c r="I14" s="305"/>
      <c r="J14" s="306"/>
      <c r="K14" s="307"/>
      <c r="L14" s="294" t="str">
        <f t="shared" si="0"/>
        <v/>
      </c>
      <c r="M14" s="301" t="str">
        <f t="shared" si="1"/>
        <v/>
      </c>
      <c r="N14" s="290" t="str">
        <f t="shared" si="2"/>
        <v/>
      </c>
      <c r="O14" s="68"/>
      <c r="P14" s="3"/>
      <c r="R14" s="652"/>
      <c r="T14" s="661" t="str">
        <f>IF(D14="","",VLOOKUP(D14,'9. All Habitats + Multipliers'!$C$4:$K$102,5,FALSE))</f>
        <v/>
      </c>
      <c r="U14" s="662"/>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x14ac:dyDescent="0.3">
      <c r="B15" s="264">
        <v>5</v>
      </c>
      <c r="C15" s="551" t="s">
        <v>226</v>
      </c>
      <c r="D15" s="670"/>
      <c r="E15" s="671"/>
      <c r="F15" s="765"/>
      <c r="G15" s="766"/>
      <c r="H15" s="767"/>
      <c r="I15" s="305"/>
      <c r="J15" s="306"/>
      <c r="K15" s="307"/>
      <c r="L15" s="294" t="str">
        <f t="shared" si="0"/>
        <v/>
      </c>
      <c r="M15" s="301" t="str">
        <f t="shared" si="1"/>
        <v/>
      </c>
      <c r="N15" s="290" t="str">
        <f t="shared" si="2"/>
        <v/>
      </c>
      <c r="O15" s="68"/>
      <c r="P15" s="3"/>
      <c r="R15" s="652"/>
      <c r="T15" s="661" t="str">
        <f>IF(D15="","",VLOOKUP(D15,'9. All Habitats + Multipliers'!$C$4:$K$102,5,FALSE))</f>
        <v/>
      </c>
      <c r="U15" s="662"/>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x14ac:dyDescent="0.3">
      <c r="B16" s="264">
        <v>6</v>
      </c>
      <c r="C16" s="551" t="s">
        <v>226</v>
      </c>
      <c r="D16" s="670"/>
      <c r="E16" s="671"/>
      <c r="F16" s="765"/>
      <c r="G16" s="766"/>
      <c r="H16" s="767"/>
      <c r="I16" s="305"/>
      <c r="J16" s="306"/>
      <c r="K16" s="307"/>
      <c r="L16" s="294" t="str">
        <f t="shared" si="0"/>
        <v/>
      </c>
      <c r="M16" s="301" t="str">
        <f t="shared" si="1"/>
        <v/>
      </c>
      <c r="N16" s="290" t="str">
        <f t="shared" si="2"/>
        <v/>
      </c>
      <c r="O16" s="68"/>
      <c r="P16" s="3"/>
      <c r="R16" s="652"/>
      <c r="T16" s="661" t="str">
        <f>IF(D16="","",VLOOKUP(D16,'9. All Habitats + Multipliers'!$C$4:$K$102,5,FALSE))</f>
        <v/>
      </c>
      <c r="U16" s="662"/>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x14ac:dyDescent="0.3">
      <c r="B17" s="264">
        <v>7</v>
      </c>
      <c r="C17" s="551" t="s">
        <v>226</v>
      </c>
      <c r="D17" s="670"/>
      <c r="E17" s="671"/>
      <c r="F17" s="765"/>
      <c r="G17" s="766"/>
      <c r="H17" s="767"/>
      <c r="I17" s="305"/>
      <c r="J17" s="306"/>
      <c r="K17" s="307"/>
      <c r="L17" s="294" t="str">
        <f t="shared" si="0"/>
        <v/>
      </c>
      <c r="M17" s="301" t="str">
        <f t="shared" si="1"/>
        <v/>
      </c>
      <c r="N17" s="290" t="str">
        <f t="shared" si="2"/>
        <v/>
      </c>
      <c r="O17" s="68"/>
      <c r="P17" s="3"/>
      <c r="R17" s="652"/>
      <c r="T17" s="661" t="str">
        <f>IF(D17="","",VLOOKUP(D17,'9. All Habitats + Multipliers'!$C$4:$K$102,5,FALSE))</f>
        <v/>
      </c>
      <c r="U17" s="662"/>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x14ac:dyDescent="0.3">
      <c r="B18" s="264">
        <v>8</v>
      </c>
      <c r="C18" s="551" t="s">
        <v>226</v>
      </c>
      <c r="D18" s="670"/>
      <c r="E18" s="671"/>
      <c r="F18" s="765"/>
      <c r="G18" s="766"/>
      <c r="H18" s="767"/>
      <c r="I18" s="305"/>
      <c r="J18" s="306"/>
      <c r="K18" s="307"/>
      <c r="L18" s="294" t="str">
        <f t="shared" si="0"/>
        <v/>
      </c>
      <c r="M18" s="301" t="str">
        <f t="shared" si="1"/>
        <v/>
      </c>
      <c r="N18" s="290" t="str">
        <f t="shared" si="2"/>
        <v/>
      </c>
      <c r="O18" s="68"/>
      <c r="P18" s="3"/>
      <c r="R18" s="652"/>
      <c r="T18" s="661" t="str">
        <f>IF(D18="","",VLOOKUP(D18,'9. All Habitats + Multipliers'!$C$4:$K$102,5,FALSE))</f>
        <v/>
      </c>
      <c r="U18" s="662"/>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x14ac:dyDescent="0.3">
      <c r="B19" s="264">
        <v>9</v>
      </c>
      <c r="C19" s="551" t="s">
        <v>226</v>
      </c>
      <c r="D19" s="670"/>
      <c r="E19" s="671"/>
      <c r="F19" s="765"/>
      <c r="G19" s="766"/>
      <c r="H19" s="767"/>
      <c r="I19" s="305"/>
      <c r="J19" s="306"/>
      <c r="K19" s="307"/>
      <c r="L19" s="294" t="str">
        <f t="shared" si="0"/>
        <v/>
      </c>
      <c r="M19" s="301" t="str">
        <f t="shared" si="1"/>
        <v/>
      </c>
      <c r="N19" s="290" t="str">
        <f t="shared" si="2"/>
        <v/>
      </c>
      <c r="O19" s="68"/>
      <c r="P19" s="3"/>
      <c r="R19" s="652"/>
      <c r="T19" s="661" t="str">
        <f>IF(D19="","",VLOOKUP(D19,'9. All Habitats + Multipliers'!$C$4:$K$102,5,FALSE))</f>
        <v/>
      </c>
      <c r="U19" s="662"/>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x14ac:dyDescent="0.3">
      <c r="B20" s="264">
        <v>10</v>
      </c>
      <c r="C20" s="552" t="s">
        <v>226</v>
      </c>
      <c r="D20" s="670"/>
      <c r="E20" s="671"/>
      <c r="F20" s="765"/>
      <c r="G20" s="766"/>
      <c r="H20" s="767"/>
      <c r="I20" s="305"/>
      <c r="J20" s="306"/>
      <c r="K20" s="307"/>
      <c r="L20" s="294" t="str">
        <f t="shared" si="0"/>
        <v/>
      </c>
      <c r="M20" s="301" t="str">
        <f t="shared" si="1"/>
        <v/>
      </c>
      <c r="N20" s="290" t="str">
        <f t="shared" si="2"/>
        <v/>
      </c>
      <c r="O20" s="69"/>
      <c r="P20" s="8"/>
      <c r="R20" s="652"/>
      <c r="T20" s="661" t="str">
        <f>IF(D20="","",VLOOKUP(D20,'9. All Habitats + Multipliers'!$C$4:$K$102,5,FALSE))</f>
        <v/>
      </c>
      <c r="U20" s="662"/>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x14ac:dyDescent="0.3">
      <c r="B21" s="264">
        <v>11</v>
      </c>
      <c r="C21" s="551" t="s">
        <v>226</v>
      </c>
      <c r="D21" s="670"/>
      <c r="E21" s="671"/>
      <c r="F21" s="765"/>
      <c r="G21" s="766"/>
      <c r="H21" s="767"/>
      <c r="I21" s="305"/>
      <c r="J21" s="306"/>
      <c r="K21" s="307"/>
      <c r="L21" s="294" t="str">
        <f t="shared" si="0"/>
        <v/>
      </c>
      <c r="M21" s="301" t="str">
        <f t="shared" si="1"/>
        <v/>
      </c>
      <c r="N21" s="290" t="str">
        <f t="shared" si="2"/>
        <v/>
      </c>
      <c r="O21" s="69"/>
      <c r="P21" s="8"/>
      <c r="R21" s="652"/>
      <c r="T21" s="661" t="str">
        <f>IF(D21="","",VLOOKUP(D21,'9. All Habitats + Multipliers'!$C$4:$K$102,5,FALSE))</f>
        <v/>
      </c>
      <c r="U21" s="662"/>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x14ac:dyDescent="0.3">
      <c r="B22" s="264">
        <v>12</v>
      </c>
      <c r="C22" s="551" t="s">
        <v>226</v>
      </c>
      <c r="D22" s="670"/>
      <c r="E22" s="671"/>
      <c r="F22" s="765"/>
      <c r="G22" s="766"/>
      <c r="H22" s="767"/>
      <c r="I22" s="305"/>
      <c r="J22" s="306"/>
      <c r="K22" s="307"/>
      <c r="L22" s="294" t="str">
        <f t="shared" si="0"/>
        <v/>
      </c>
      <c r="M22" s="301" t="str">
        <f t="shared" si="1"/>
        <v/>
      </c>
      <c r="N22" s="290" t="str">
        <f t="shared" si="2"/>
        <v/>
      </c>
      <c r="O22" s="69"/>
      <c r="P22" s="8"/>
      <c r="R22" s="652"/>
      <c r="T22" s="661" t="str">
        <f>IF(D22="","",VLOOKUP(D22,'9. All Habitats + Multipliers'!$C$4:$K$102,5,FALSE))</f>
        <v/>
      </c>
      <c r="U22" s="662"/>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x14ac:dyDescent="0.3">
      <c r="B23" s="264">
        <v>13</v>
      </c>
      <c r="C23" s="551" t="s">
        <v>226</v>
      </c>
      <c r="D23" s="670"/>
      <c r="E23" s="671"/>
      <c r="F23" s="765"/>
      <c r="G23" s="766"/>
      <c r="H23" s="767"/>
      <c r="I23" s="305"/>
      <c r="J23" s="306"/>
      <c r="K23" s="307"/>
      <c r="L23" s="294" t="str">
        <f t="shared" si="0"/>
        <v/>
      </c>
      <c r="M23" s="301" t="str">
        <f t="shared" si="1"/>
        <v/>
      </c>
      <c r="N23" s="290" t="str">
        <f t="shared" si="2"/>
        <v/>
      </c>
      <c r="O23" s="69"/>
      <c r="P23" s="8"/>
      <c r="R23" s="652"/>
      <c r="T23" s="661" t="str">
        <f>IF(D23="","",VLOOKUP(D23,'9. All Habitats + Multipliers'!$C$4:$K$102,5,FALSE))</f>
        <v/>
      </c>
      <c r="U23" s="662"/>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x14ac:dyDescent="0.3">
      <c r="B24" s="264">
        <v>14</v>
      </c>
      <c r="C24" s="551" t="s">
        <v>226</v>
      </c>
      <c r="D24" s="670"/>
      <c r="E24" s="671"/>
      <c r="F24" s="765"/>
      <c r="G24" s="766"/>
      <c r="H24" s="767"/>
      <c r="I24" s="305"/>
      <c r="J24" s="306"/>
      <c r="K24" s="307"/>
      <c r="L24" s="294" t="str">
        <f t="shared" si="0"/>
        <v/>
      </c>
      <c r="M24" s="301" t="str">
        <f t="shared" si="1"/>
        <v/>
      </c>
      <c r="N24" s="290" t="str">
        <f t="shared" si="2"/>
        <v/>
      </c>
      <c r="O24" s="69"/>
      <c r="P24" s="8"/>
      <c r="R24" s="652"/>
      <c r="T24" s="661" t="str">
        <f>IF(D24="","",VLOOKUP(D24,'9. All Habitats + Multipliers'!$C$4:$K$102,5,FALSE))</f>
        <v/>
      </c>
      <c r="U24" s="662"/>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x14ac:dyDescent="0.3">
      <c r="B25" s="264">
        <v>15</v>
      </c>
      <c r="C25" s="551" t="s">
        <v>226</v>
      </c>
      <c r="D25" s="670"/>
      <c r="E25" s="671"/>
      <c r="F25" s="765"/>
      <c r="G25" s="766"/>
      <c r="H25" s="767"/>
      <c r="I25" s="305"/>
      <c r="J25" s="306"/>
      <c r="K25" s="307"/>
      <c r="L25" s="294" t="str">
        <f t="shared" si="0"/>
        <v/>
      </c>
      <c r="M25" s="301" t="str">
        <f t="shared" si="1"/>
        <v/>
      </c>
      <c r="N25" s="290" t="str">
        <f t="shared" si="2"/>
        <v/>
      </c>
      <c r="O25" s="69"/>
      <c r="P25" s="8"/>
      <c r="R25" s="652"/>
      <c r="T25" s="661" t="str">
        <f>IF(D25="","",VLOOKUP(D25,'9. All Habitats + Multipliers'!$C$4:$K$102,5,FALSE))</f>
        <v/>
      </c>
      <c r="U25" s="662"/>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x14ac:dyDescent="0.3">
      <c r="B26" s="264">
        <v>16</v>
      </c>
      <c r="C26" s="551" t="s">
        <v>226</v>
      </c>
      <c r="D26" s="670"/>
      <c r="E26" s="671"/>
      <c r="F26" s="765"/>
      <c r="G26" s="766"/>
      <c r="H26" s="767"/>
      <c r="I26" s="305"/>
      <c r="J26" s="306"/>
      <c r="K26" s="307"/>
      <c r="L26" s="294" t="str">
        <f t="shared" si="0"/>
        <v/>
      </c>
      <c r="M26" s="301" t="str">
        <f t="shared" si="1"/>
        <v/>
      </c>
      <c r="N26" s="290" t="str">
        <f t="shared" si="2"/>
        <v/>
      </c>
      <c r="O26" s="69"/>
      <c r="P26" s="8"/>
      <c r="R26" s="652"/>
      <c r="T26" s="661" t="str">
        <f>IF(D26="","",VLOOKUP(D26,'9. All Habitats + Multipliers'!$C$4:$K$102,5,FALSE))</f>
        <v/>
      </c>
      <c r="U26" s="662"/>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x14ac:dyDescent="0.3">
      <c r="B27" s="264">
        <v>17</v>
      </c>
      <c r="C27" s="551" t="s">
        <v>226</v>
      </c>
      <c r="D27" s="670"/>
      <c r="E27" s="671"/>
      <c r="F27" s="765"/>
      <c r="G27" s="766"/>
      <c r="H27" s="767"/>
      <c r="I27" s="305"/>
      <c r="J27" s="306"/>
      <c r="K27" s="307"/>
      <c r="L27" s="294" t="str">
        <f t="shared" si="0"/>
        <v/>
      </c>
      <c r="M27" s="301" t="str">
        <f t="shared" si="1"/>
        <v/>
      </c>
      <c r="N27" s="290" t="str">
        <f t="shared" si="2"/>
        <v/>
      </c>
      <c r="O27" s="69"/>
      <c r="P27" s="8"/>
      <c r="R27" s="652"/>
      <c r="T27" s="661" t="str">
        <f>IF(D27="","",VLOOKUP(D27,'9. All Habitats + Multipliers'!$C$4:$K$102,5,FALSE))</f>
        <v/>
      </c>
      <c r="U27" s="662"/>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x14ac:dyDescent="0.3">
      <c r="B28" s="264">
        <v>18</v>
      </c>
      <c r="C28" s="551" t="s">
        <v>226</v>
      </c>
      <c r="D28" s="670"/>
      <c r="E28" s="671"/>
      <c r="F28" s="765"/>
      <c r="G28" s="766"/>
      <c r="H28" s="767"/>
      <c r="I28" s="305"/>
      <c r="J28" s="306"/>
      <c r="K28" s="307"/>
      <c r="L28" s="294" t="str">
        <f t="shared" si="0"/>
        <v/>
      </c>
      <c r="M28" s="301" t="str">
        <f t="shared" si="1"/>
        <v/>
      </c>
      <c r="N28" s="290" t="str">
        <f t="shared" si="2"/>
        <v/>
      </c>
      <c r="O28" s="69"/>
      <c r="P28" s="8"/>
      <c r="R28" s="652"/>
      <c r="T28" s="661" t="str">
        <f>IF(D28="","",VLOOKUP(D28,'9. All Habitats + Multipliers'!$C$4:$K$102,5,FALSE))</f>
        <v/>
      </c>
      <c r="U28" s="662"/>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x14ac:dyDescent="0.3">
      <c r="B29" s="264">
        <v>19</v>
      </c>
      <c r="C29" s="553" t="s">
        <v>226</v>
      </c>
      <c r="D29" s="670"/>
      <c r="E29" s="671"/>
      <c r="F29" s="765"/>
      <c r="G29" s="766"/>
      <c r="H29" s="767"/>
      <c r="I29" s="305"/>
      <c r="J29" s="306"/>
      <c r="K29" s="307"/>
      <c r="L29" s="294" t="str">
        <f t="shared" si="0"/>
        <v/>
      </c>
      <c r="M29" s="301" t="str">
        <f t="shared" si="1"/>
        <v/>
      </c>
      <c r="N29" s="290" t="str">
        <f t="shared" si="2"/>
        <v/>
      </c>
      <c r="O29" s="69"/>
      <c r="P29" s="8"/>
      <c r="R29" s="652"/>
      <c r="T29" s="661" t="str">
        <f>IF(D29="","",VLOOKUP(D29,'9. All Habitats + Multipliers'!$C$4:$K$102,5,FALSE))</f>
        <v/>
      </c>
      <c r="U29" s="662"/>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x14ac:dyDescent="0.35">
      <c r="B30" s="265">
        <v>20</v>
      </c>
      <c r="C30" s="554" t="s">
        <v>226</v>
      </c>
      <c r="D30" s="674"/>
      <c r="E30" s="675"/>
      <c r="F30" s="900"/>
      <c r="G30" s="901"/>
      <c r="H30" s="902"/>
      <c r="I30" s="308"/>
      <c r="J30" s="309"/>
      <c r="K30" s="310"/>
      <c r="L30" s="292" t="str">
        <f t="shared" si="0"/>
        <v/>
      </c>
      <c r="M30" s="315" t="str">
        <f t="shared" si="1"/>
        <v/>
      </c>
      <c r="N30" s="293" t="str">
        <f t="shared" si="2"/>
        <v/>
      </c>
      <c r="O30" s="70"/>
      <c r="P30" s="4"/>
      <c r="R30" s="652"/>
      <c r="T30" s="661" t="str">
        <f>IF(D30="","",VLOOKUP(D30,'9. All Habitats + Multipliers'!$C$4:$K$102,5,FALSE))</f>
        <v/>
      </c>
      <c r="U30" s="662"/>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x14ac:dyDescent="0.3">
      <c r="D31" s="89"/>
      <c r="E31" s="103"/>
      <c r="F31" s="103"/>
      <c r="G31" s="103"/>
      <c r="H31" s="271" t="s">
        <v>227</v>
      </c>
      <c r="I31" s="311">
        <f t="shared" ref="I31:N31" si="7">SUM(I11:I30)</f>
        <v>0</v>
      </c>
      <c r="J31" s="312">
        <f t="shared" si="7"/>
        <v>0</v>
      </c>
      <c r="K31" s="313">
        <f t="shared" si="7"/>
        <v>0</v>
      </c>
      <c r="L31" s="279">
        <f t="shared" si="7"/>
        <v>0</v>
      </c>
      <c r="M31" s="319">
        <f t="shared" si="7"/>
        <v>0</v>
      </c>
      <c r="N31" s="280">
        <f t="shared" si="7"/>
        <v>0</v>
      </c>
      <c r="R31" s="652"/>
    </row>
    <row r="32" spans="2:35" s="25" customFormat="1" x14ac:dyDescent="0.3">
      <c r="D32" s="89"/>
      <c r="E32" s="103"/>
      <c r="F32" s="103"/>
      <c r="G32" s="103"/>
      <c r="H32" s="289" t="s">
        <v>97</v>
      </c>
      <c r="I32" s="893" t="str">
        <f>IF(I31&lt;J31+K31,"Error - Lengths Retained and Enhanced Exceed Total Length ▲","Lengths Acceptable ✓")</f>
        <v>Lengths Acceptable ✓</v>
      </c>
      <c r="J32" s="893"/>
      <c r="K32" s="893"/>
      <c r="L32" s="893"/>
      <c r="M32" s="893"/>
      <c r="N32" s="894"/>
      <c r="O32" s="157">
        <f>IFERROR(FIND("Error",I32),0)</f>
        <v>0</v>
      </c>
      <c r="R32" s="104"/>
    </row>
    <row r="33" spans="2:34" s="25" customFormat="1" ht="15" thickBot="1" x14ac:dyDescent="0.35">
      <c r="D33" s="89"/>
      <c r="E33" s="103"/>
      <c r="F33" s="103"/>
      <c r="G33" s="103"/>
      <c r="H33" s="272" t="s">
        <v>98</v>
      </c>
      <c r="I33" s="903" t="str">
        <f>IF(I31&lt;5000,"Lengths Acceptable ✓",IF(I31&gt;=5000,"Length Exceeds Length Appropriate for Small Sites Metric ▲"))</f>
        <v>Lengths Acceptable ✓</v>
      </c>
      <c r="J33" s="903"/>
      <c r="K33" s="903"/>
      <c r="L33" s="903"/>
      <c r="M33" s="903"/>
      <c r="N33" s="904"/>
      <c r="O33" s="157">
        <f>COUNTIF(L11:N30,"*"&amp;"error"&amp;"*")</f>
        <v>0</v>
      </c>
      <c r="R33" s="104"/>
    </row>
    <row r="34" spans="2:34" s="25" customFormat="1" x14ac:dyDescent="0.3">
      <c r="D34" s="89"/>
      <c r="E34" s="103"/>
      <c r="F34" s="103"/>
      <c r="G34" s="103"/>
      <c r="H34" s="103"/>
      <c r="I34" s="103"/>
      <c r="J34" s="103"/>
      <c r="K34" s="103"/>
      <c r="L34" s="103"/>
      <c r="M34" s="103"/>
      <c r="N34" s="103"/>
      <c r="O34" s="103"/>
      <c r="R34" s="652" t="s">
        <v>55</v>
      </c>
    </row>
    <row r="35" spans="2:34" s="25" customFormat="1" ht="21" x14ac:dyDescent="0.4">
      <c r="B35" s="57" t="s">
        <v>100</v>
      </c>
      <c r="D35" s="88"/>
      <c r="E35" s="103"/>
      <c r="F35" s="103"/>
      <c r="G35" s="103"/>
      <c r="I35" s="26"/>
      <c r="R35" s="652"/>
    </row>
    <row r="36" spans="2:34" s="25" customFormat="1" ht="15.75" customHeight="1" thickBot="1" x14ac:dyDescent="0.35">
      <c r="R36" s="652"/>
    </row>
    <row r="37" spans="2:34" s="25" customFormat="1" ht="16.2" customHeight="1" x14ac:dyDescent="0.3">
      <c r="B37" s="734" t="s">
        <v>49</v>
      </c>
      <c r="C37" s="724"/>
      <c r="D37" s="737"/>
      <c r="E37" s="723" t="s">
        <v>101</v>
      </c>
      <c r="F37" s="783"/>
      <c r="G37" s="725"/>
      <c r="H37" s="783" t="s">
        <v>102</v>
      </c>
      <c r="I37" s="755" t="s">
        <v>228</v>
      </c>
      <c r="J37" s="756"/>
      <c r="K37" s="757"/>
      <c r="L37" s="723" t="s">
        <v>229</v>
      </c>
      <c r="M37" s="724"/>
      <c r="N37" s="725"/>
      <c r="O37" s="768" t="s">
        <v>68</v>
      </c>
      <c r="P37" s="725"/>
      <c r="R37" s="652"/>
      <c r="T37" s="680" t="s">
        <v>69</v>
      </c>
      <c r="U37" s="681"/>
      <c r="V37" s="913"/>
      <c r="W37" s="680" t="s">
        <v>70</v>
      </c>
      <c r="X37" s="682"/>
      <c r="Y37" s="762"/>
      <c r="Z37" s="762"/>
      <c r="AA37" s="762"/>
      <c r="AB37" s="761" t="s">
        <v>71</v>
      </c>
      <c r="AC37" s="681"/>
      <c r="AD37" s="682"/>
      <c r="AE37" s="680" t="s">
        <v>105</v>
      </c>
      <c r="AF37" s="682"/>
      <c r="AG37" s="680" t="s">
        <v>106</v>
      </c>
      <c r="AH37" s="682"/>
    </row>
    <row r="38" spans="2:34" s="25" customFormat="1" ht="31.8" thickBot="1" x14ac:dyDescent="0.35">
      <c r="B38" s="735"/>
      <c r="C38" s="197" t="s">
        <v>75</v>
      </c>
      <c r="D38" s="198" t="s">
        <v>107</v>
      </c>
      <c r="E38" s="86" t="s">
        <v>108</v>
      </c>
      <c r="F38" s="721" t="s">
        <v>109</v>
      </c>
      <c r="G38" s="722"/>
      <c r="H38" s="784"/>
      <c r="I38" s="758"/>
      <c r="J38" s="759"/>
      <c r="K38" s="760"/>
      <c r="L38" s="890"/>
      <c r="M38" s="891"/>
      <c r="N38" s="892"/>
      <c r="O38" s="196" t="s">
        <v>83</v>
      </c>
      <c r="P38" s="90" t="s">
        <v>84</v>
      </c>
      <c r="R38" s="652"/>
      <c r="T38" s="678" t="s">
        <v>85</v>
      </c>
      <c r="U38" s="679"/>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28.8" x14ac:dyDescent="0.3">
      <c r="B39" s="263">
        <v>1</v>
      </c>
      <c r="C39" s="551" t="s">
        <v>226</v>
      </c>
      <c r="D39" s="73"/>
      <c r="E39" s="105" t="str">
        <f>IF(D39="","",VLOOKUP(D39,'10. Condition and Temporal'!$B$6:$D$103,3,FALSE))</f>
        <v/>
      </c>
      <c r="F39" s="895"/>
      <c r="G39" s="896"/>
      <c r="H39" s="72"/>
      <c r="I39" s="716"/>
      <c r="J39" s="717"/>
      <c r="K39" s="717"/>
      <c r="L39" s="897" t="str">
        <f>IF(D39="","",IFERROR(IF(I39="","",((I39/1000)*(V39*X39))*(AH39*AF39)*AD39),"This intervention is not permitted within the SSM ▲"))</f>
        <v/>
      </c>
      <c r="M39" s="898"/>
      <c r="N39" s="899"/>
      <c r="O39" s="210"/>
      <c r="P39" s="1"/>
      <c r="Q39" s="106"/>
      <c r="R39" s="652"/>
      <c r="T39" s="661" t="str">
        <f>IF(D39="","",VLOOKUP(D39,'9. All Habitats + Multipliers'!$C$4:$K$102,5,FALSE))</f>
        <v/>
      </c>
      <c r="U39" s="662"/>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x14ac:dyDescent="0.3">
      <c r="B40" s="264">
        <v>2</v>
      </c>
      <c r="C40" s="551" t="s">
        <v>226</v>
      </c>
      <c r="D40" s="73"/>
      <c r="E40" s="105" t="str">
        <f>IF(D40="","",VLOOKUP(D40,'10. Condition and Temporal'!$B$6:$D$103,3,FALSE))</f>
        <v/>
      </c>
      <c r="F40" s="857"/>
      <c r="G40" s="858"/>
      <c r="H40" s="71"/>
      <c r="I40" s="716"/>
      <c r="J40" s="717"/>
      <c r="K40" s="717"/>
      <c r="L40" s="859" t="str">
        <f t="shared" ref="L40:L58" si="8">IF(D40="","",IFERROR(IF(I40="","",((I40/1000)*(V40*X40))*(AH40*AF40)*AD40),"This intervention is not permitted within the SSM ▲"))</f>
        <v/>
      </c>
      <c r="M40" s="860"/>
      <c r="N40" s="861"/>
      <c r="O40" s="74"/>
      <c r="P40" s="12"/>
      <c r="Q40" s="106"/>
      <c r="R40" s="652"/>
      <c r="T40" s="661" t="str">
        <f>IF(D40="","",VLOOKUP(D40,'9. All Habitats + Multipliers'!$C$4:$K$102,5,FALSE))</f>
        <v/>
      </c>
      <c r="U40" s="662"/>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x14ac:dyDescent="0.3">
      <c r="B41" s="264">
        <v>3</v>
      </c>
      <c r="C41" s="551" t="s">
        <v>226</v>
      </c>
      <c r="D41" s="73"/>
      <c r="E41" s="105" t="str">
        <f>IF(D41="","",VLOOKUP(D41,'10. Condition and Temporal'!$B$6:$D$103,3,FALSE))</f>
        <v/>
      </c>
      <c r="F41" s="857"/>
      <c r="G41" s="858"/>
      <c r="H41" s="71"/>
      <c r="I41" s="716"/>
      <c r="J41" s="717"/>
      <c r="K41" s="717"/>
      <c r="L41" s="859" t="str">
        <f t="shared" si="8"/>
        <v/>
      </c>
      <c r="M41" s="860"/>
      <c r="N41" s="861"/>
      <c r="O41" s="74"/>
      <c r="P41" s="12"/>
      <c r="Q41" s="106"/>
      <c r="R41" s="652"/>
      <c r="T41" s="661" t="str">
        <f>IF(D41="","",VLOOKUP(D41,'9. All Habitats + Multipliers'!$C$4:$K$102,5,FALSE))</f>
        <v/>
      </c>
      <c r="U41" s="662"/>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x14ac:dyDescent="0.3">
      <c r="B42" s="264">
        <v>4</v>
      </c>
      <c r="C42" s="551" t="s">
        <v>226</v>
      </c>
      <c r="D42" s="73"/>
      <c r="E42" s="105" t="str">
        <f>IF(D42="","",VLOOKUP(D42,'10. Condition and Temporal'!$B$6:$D$103,3,FALSE))</f>
        <v/>
      </c>
      <c r="F42" s="857"/>
      <c r="G42" s="858"/>
      <c r="H42" s="71"/>
      <c r="I42" s="716"/>
      <c r="J42" s="717"/>
      <c r="K42" s="717"/>
      <c r="L42" s="859" t="str">
        <f t="shared" si="8"/>
        <v/>
      </c>
      <c r="M42" s="860"/>
      <c r="N42" s="861"/>
      <c r="O42" s="74"/>
      <c r="P42" s="12"/>
      <c r="Q42" s="106"/>
      <c r="R42" s="652"/>
      <c r="T42" s="661" t="str">
        <f>IF(D42="","",VLOOKUP(D42,'9. All Habitats + Multipliers'!$C$4:$K$102,5,FALSE))</f>
        <v/>
      </c>
      <c r="U42" s="662"/>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x14ac:dyDescent="0.3">
      <c r="B43" s="264">
        <v>5</v>
      </c>
      <c r="C43" s="551" t="s">
        <v>226</v>
      </c>
      <c r="D43" s="73"/>
      <c r="E43" s="105" t="str">
        <f>IF(D43="","",VLOOKUP(D43,'10. Condition and Temporal'!$B$6:$D$103,3,FALSE))</f>
        <v/>
      </c>
      <c r="F43" s="857"/>
      <c r="G43" s="858"/>
      <c r="H43" s="71"/>
      <c r="I43" s="716"/>
      <c r="J43" s="717"/>
      <c r="K43" s="717"/>
      <c r="L43" s="859" t="str">
        <f t="shared" si="8"/>
        <v/>
      </c>
      <c r="M43" s="860"/>
      <c r="N43" s="861"/>
      <c r="O43" s="74"/>
      <c r="P43" s="12"/>
      <c r="R43" s="652"/>
      <c r="T43" s="661" t="str">
        <f>IF(D43="","",VLOOKUP(D43,'9. All Habitats + Multipliers'!$C$4:$K$102,5,FALSE))</f>
        <v/>
      </c>
      <c r="U43" s="662"/>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x14ac:dyDescent="0.3">
      <c r="B44" s="264">
        <v>6</v>
      </c>
      <c r="C44" s="551" t="s">
        <v>226</v>
      </c>
      <c r="D44" s="73"/>
      <c r="E44" s="105" t="str">
        <f>IF(D44="","",VLOOKUP(D44,'10. Condition and Temporal'!$B$6:$D$103,3,FALSE))</f>
        <v/>
      </c>
      <c r="F44" s="857"/>
      <c r="G44" s="858"/>
      <c r="H44" s="71"/>
      <c r="I44" s="716"/>
      <c r="J44" s="717"/>
      <c r="K44" s="717"/>
      <c r="L44" s="859" t="str">
        <f t="shared" si="8"/>
        <v/>
      </c>
      <c r="M44" s="860"/>
      <c r="N44" s="861"/>
      <c r="O44" s="74"/>
      <c r="P44" s="12"/>
      <c r="R44" s="652"/>
      <c r="T44" s="661" t="str">
        <f>IF(D44="","",VLOOKUP(D44,'9. All Habitats + Multipliers'!$C$4:$K$102,5,FALSE))</f>
        <v/>
      </c>
      <c r="U44" s="662"/>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x14ac:dyDescent="0.3">
      <c r="B45" s="264">
        <v>7</v>
      </c>
      <c r="C45" s="551" t="s">
        <v>226</v>
      </c>
      <c r="D45" s="73"/>
      <c r="E45" s="105" t="str">
        <f>IF(D45="","",VLOOKUP(D45,'10. Condition and Temporal'!$B$6:$D$103,3,FALSE))</f>
        <v/>
      </c>
      <c r="F45" s="857"/>
      <c r="G45" s="858"/>
      <c r="H45" s="71"/>
      <c r="I45" s="716"/>
      <c r="J45" s="717"/>
      <c r="K45" s="717"/>
      <c r="L45" s="859" t="str">
        <f t="shared" si="8"/>
        <v/>
      </c>
      <c r="M45" s="860"/>
      <c r="N45" s="861"/>
      <c r="O45" s="74"/>
      <c r="P45" s="12"/>
      <c r="R45" s="652"/>
      <c r="T45" s="661" t="str">
        <f>IF(D45="","",VLOOKUP(D45,'9. All Habitats + Multipliers'!$C$4:$K$102,5,FALSE))</f>
        <v/>
      </c>
      <c r="U45" s="662"/>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x14ac:dyDescent="0.3">
      <c r="B46" s="264">
        <v>8</v>
      </c>
      <c r="C46" s="551" t="s">
        <v>226</v>
      </c>
      <c r="D46" s="73"/>
      <c r="E46" s="105" t="str">
        <f>IF(D46="","",VLOOKUP(D46,'10. Condition and Temporal'!$B$6:$D$103,3,FALSE))</f>
        <v/>
      </c>
      <c r="F46" s="857"/>
      <c r="G46" s="858"/>
      <c r="H46" s="71"/>
      <c r="I46" s="716"/>
      <c r="J46" s="717"/>
      <c r="K46" s="717"/>
      <c r="L46" s="859" t="str">
        <f t="shared" si="8"/>
        <v/>
      </c>
      <c r="M46" s="860"/>
      <c r="N46" s="861"/>
      <c r="O46" s="74"/>
      <c r="P46" s="12"/>
      <c r="R46" s="652"/>
      <c r="T46" s="661" t="str">
        <f>IF(D46="","",VLOOKUP(D46,'9. All Habitats + Multipliers'!$C$4:$K$102,5,FALSE))</f>
        <v/>
      </c>
      <c r="U46" s="662"/>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x14ac:dyDescent="0.3">
      <c r="B47" s="264">
        <v>9</v>
      </c>
      <c r="C47" s="551" t="s">
        <v>226</v>
      </c>
      <c r="D47" s="73"/>
      <c r="E47" s="105" t="str">
        <f>IF(D47="","",VLOOKUP(D47,'10. Condition and Temporal'!$B$6:$D$103,3,FALSE))</f>
        <v/>
      </c>
      <c r="F47" s="857"/>
      <c r="G47" s="858"/>
      <c r="H47" s="71"/>
      <c r="I47" s="716"/>
      <c r="J47" s="717"/>
      <c r="K47" s="717"/>
      <c r="L47" s="859" t="str">
        <f t="shared" si="8"/>
        <v/>
      </c>
      <c r="M47" s="860"/>
      <c r="N47" s="861"/>
      <c r="O47" s="74"/>
      <c r="P47" s="12"/>
      <c r="R47" s="652"/>
      <c r="T47" s="661" t="str">
        <f>IF(D47="","",VLOOKUP(D47,'9. All Habitats + Multipliers'!$C$4:$K$102,5,FALSE))</f>
        <v/>
      </c>
      <c r="U47" s="662"/>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x14ac:dyDescent="0.3">
      <c r="B48" s="264">
        <v>10</v>
      </c>
      <c r="C48" s="552" t="s">
        <v>226</v>
      </c>
      <c r="D48" s="73"/>
      <c r="E48" s="105" t="str">
        <f>IF(D48="","",VLOOKUP(D48,'10. Condition and Temporal'!$B$6:$D$103,3,FALSE))</f>
        <v/>
      </c>
      <c r="F48" s="857"/>
      <c r="G48" s="858"/>
      <c r="H48" s="71"/>
      <c r="I48" s="716"/>
      <c r="J48" s="717"/>
      <c r="K48" s="717"/>
      <c r="L48" s="859" t="str">
        <f t="shared" si="8"/>
        <v/>
      </c>
      <c r="M48" s="860"/>
      <c r="N48" s="861"/>
      <c r="O48" s="74"/>
      <c r="P48" s="12"/>
      <c r="R48" s="652"/>
      <c r="T48" s="661" t="str">
        <f>IF(D48="","",VLOOKUP(D48,'9. All Habitats + Multipliers'!$C$4:$K$102,5,FALSE))</f>
        <v/>
      </c>
      <c r="U48" s="662"/>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x14ac:dyDescent="0.3">
      <c r="B49" s="264">
        <v>11</v>
      </c>
      <c r="C49" s="551" t="s">
        <v>226</v>
      </c>
      <c r="D49" s="73"/>
      <c r="E49" s="105" t="str">
        <f>IF(D49="","",VLOOKUP(D49,'10. Condition and Temporal'!$B$6:$D$103,3,FALSE))</f>
        <v/>
      </c>
      <c r="F49" s="857"/>
      <c r="G49" s="858"/>
      <c r="H49" s="71"/>
      <c r="I49" s="716"/>
      <c r="J49" s="717"/>
      <c r="K49" s="717"/>
      <c r="L49" s="859" t="str">
        <f t="shared" si="8"/>
        <v/>
      </c>
      <c r="M49" s="860"/>
      <c r="N49" s="861"/>
      <c r="O49" s="74"/>
      <c r="P49" s="12"/>
      <c r="R49" s="652"/>
      <c r="T49" s="661" t="str">
        <f>IF(D49="","",VLOOKUP(D49,'9. All Habitats + Multipliers'!$C$4:$K$102,5,FALSE))</f>
        <v/>
      </c>
      <c r="U49" s="662"/>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x14ac:dyDescent="0.3">
      <c r="B50" s="264">
        <v>12</v>
      </c>
      <c r="C50" s="551" t="s">
        <v>226</v>
      </c>
      <c r="D50" s="73"/>
      <c r="E50" s="105" t="str">
        <f>IF(D50="","",VLOOKUP(D50,'10. Condition and Temporal'!$B$6:$D$103,3,FALSE))</f>
        <v/>
      </c>
      <c r="F50" s="857"/>
      <c r="G50" s="858"/>
      <c r="H50" s="71"/>
      <c r="I50" s="716"/>
      <c r="J50" s="717"/>
      <c r="K50" s="717"/>
      <c r="L50" s="859" t="str">
        <f t="shared" si="8"/>
        <v/>
      </c>
      <c r="M50" s="860"/>
      <c r="N50" s="861"/>
      <c r="O50" s="74"/>
      <c r="P50" s="12"/>
      <c r="R50" s="652"/>
      <c r="T50" s="661" t="str">
        <f>IF(D50="","",VLOOKUP(D50,'9. All Habitats + Multipliers'!$C$4:$K$102,5,FALSE))</f>
        <v/>
      </c>
      <c r="U50" s="662"/>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x14ac:dyDescent="0.3">
      <c r="B51" s="264">
        <v>13</v>
      </c>
      <c r="C51" s="551" t="s">
        <v>226</v>
      </c>
      <c r="D51" s="73"/>
      <c r="E51" s="105" t="str">
        <f>IF(D51="","",VLOOKUP(D51,'10. Condition and Temporal'!$B$6:$D$103,3,FALSE))</f>
        <v/>
      </c>
      <c r="F51" s="857"/>
      <c r="G51" s="858"/>
      <c r="H51" s="71"/>
      <c r="I51" s="716"/>
      <c r="J51" s="717"/>
      <c r="K51" s="717"/>
      <c r="L51" s="859" t="str">
        <f t="shared" si="8"/>
        <v/>
      </c>
      <c r="M51" s="860"/>
      <c r="N51" s="861"/>
      <c r="O51" s="74"/>
      <c r="P51" s="12"/>
      <c r="R51" s="652"/>
      <c r="T51" s="661" t="str">
        <f>IF(D51="","",VLOOKUP(D51,'9. All Habitats + Multipliers'!$C$4:$K$102,5,FALSE))</f>
        <v/>
      </c>
      <c r="U51" s="662"/>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x14ac:dyDescent="0.3">
      <c r="B52" s="264">
        <v>14</v>
      </c>
      <c r="C52" s="551" t="s">
        <v>226</v>
      </c>
      <c r="D52" s="73"/>
      <c r="E52" s="105" t="str">
        <f>IF(D52="","",VLOOKUP(D52,'10. Condition and Temporal'!$B$6:$D$103,3,FALSE))</f>
        <v/>
      </c>
      <c r="F52" s="857"/>
      <c r="G52" s="858"/>
      <c r="H52" s="71"/>
      <c r="I52" s="716"/>
      <c r="J52" s="717"/>
      <c r="K52" s="717"/>
      <c r="L52" s="859" t="str">
        <f t="shared" si="8"/>
        <v/>
      </c>
      <c r="M52" s="860"/>
      <c r="N52" s="861"/>
      <c r="O52" s="74"/>
      <c r="P52" s="12"/>
      <c r="R52" s="652"/>
      <c r="T52" s="661" t="str">
        <f>IF(D52="","",VLOOKUP(D52,'9. All Habitats + Multipliers'!$C$4:$K$102,5,FALSE))</f>
        <v/>
      </c>
      <c r="U52" s="662"/>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x14ac:dyDescent="0.3">
      <c r="B53" s="264">
        <v>15</v>
      </c>
      <c r="C53" s="551" t="s">
        <v>226</v>
      </c>
      <c r="D53" s="73"/>
      <c r="E53" s="105" t="str">
        <f>IF(D53="","",VLOOKUP(D53,'10. Condition and Temporal'!$B$6:$D$103,3,FALSE))</f>
        <v/>
      </c>
      <c r="F53" s="857"/>
      <c r="G53" s="858"/>
      <c r="H53" s="71"/>
      <c r="I53" s="716"/>
      <c r="J53" s="717"/>
      <c r="K53" s="717"/>
      <c r="L53" s="859" t="str">
        <f t="shared" si="8"/>
        <v/>
      </c>
      <c r="M53" s="860"/>
      <c r="N53" s="861"/>
      <c r="O53" s="74"/>
      <c r="P53" s="12"/>
      <c r="R53" s="652"/>
      <c r="T53" s="661" t="str">
        <f>IF(D53="","",VLOOKUP(D53,'9. All Habitats + Multipliers'!$C$4:$K$102,5,FALSE))</f>
        <v/>
      </c>
      <c r="U53" s="662"/>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x14ac:dyDescent="0.3">
      <c r="B54" s="264">
        <v>16</v>
      </c>
      <c r="C54" s="551" t="s">
        <v>226</v>
      </c>
      <c r="D54" s="73"/>
      <c r="E54" s="105" t="str">
        <f>IF(D54="","",VLOOKUP(D54,'10. Condition and Temporal'!$B$6:$D$103,3,FALSE))</f>
        <v/>
      </c>
      <c r="F54" s="857"/>
      <c r="G54" s="858"/>
      <c r="H54" s="71"/>
      <c r="I54" s="716"/>
      <c r="J54" s="717"/>
      <c r="K54" s="717"/>
      <c r="L54" s="859" t="str">
        <f t="shared" si="8"/>
        <v/>
      </c>
      <c r="M54" s="860"/>
      <c r="N54" s="861"/>
      <c r="O54" s="74"/>
      <c r="P54" s="12"/>
      <c r="R54" s="652"/>
      <c r="T54" s="661" t="str">
        <f>IF(D54="","",VLOOKUP(D54,'9. All Habitats + Multipliers'!$C$4:$K$102,5,FALSE))</f>
        <v/>
      </c>
      <c r="U54" s="662"/>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x14ac:dyDescent="0.3">
      <c r="B55" s="264">
        <v>17</v>
      </c>
      <c r="C55" s="551" t="s">
        <v>226</v>
      </c>
      <c r="D55" s="73"/>
      <c r="E55" s="105" t="str">
        <f>IF(D55="","",VLOOKUP(D55,'10. Condition and Temporal'!$B$6:$D$103,3,FALSE))</f>
        <v/>
      </c>
      <c r="F55" s="857"/>
      <c r="G55" s="858"/>
      <c r="H55" s="71"/>
      <c r="I55" s="716"/>
      <c r="J55" s="717"/>
      <c r="K55" s="717"/>
      <c r="L55" s="859" t="str">
        <f t="shared" si="8"/>
        <v/>
      </c>
      <c r="M55" s="860"/>
      <c r="N55" s="861"/>
      <c r="O55" s="74"/>
      <c r="P55" s="12"/>
      <c r="R55" s="652"/>
      <c r="T55" s="661" t="str">
        <f>IF(D55="","",VLOOKUP(D55,'9. All Habitats + Multipliers'!$C$4:$K$102,5,FALSE))</f>
        <v/>
      </c>
      <c r="U55" s="662"/>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x14ac:dyDescent="0.3">
      <c r="B56" s="264">
        <v>18</v>
      </c>
      <c r="C56" s="551" t="s">
        <v>226</v>
      </c>
      <c r="D56" s="73"/>
      <c r="E56" s="105" t="str">
        <f>IF(D56="","",VLOOKUP(D56,'10. Condition and Temporal'!$B$6:$D$103,3,FALSE))</f>
        <v/>
      </c>
      <c r="F56" s="857"/>
      <c r="G56" s="858"/>
      <c r="H56" s="71"/>
      <c r="I56" s="716"/>
      <c r="J56" s="717"/>
      <c r="K56" s="717"/>
      <c r="L56" s="859" t="str">
        <f t="shared" si="8"/>
        <v/>
      </c>
      <c r="M56" s="860"/>
      <c r="N56" s="861"/>
      <c r="O56" s="74"/>
      <c r="P56" s="12"/>
      <c r="R56" s="652"/>
      <c r="T56" s="661" t="str">
        <f>IF(D56="","",VLOOKUP(D56,'9. All Habitats + Multipliers'!$C$4:$K$102,5,FALSE))</f>
        <v/>
      </c>
      <c r="U56" s="662"/>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x14ac:dyDescent="0.3">
      <c r="B57" s="264">
        <v>19</v>
      </c>
      <c r="C57" s="553" t="s">
        <v>226</v>
      </c>
      <c r="D57" s="73"/>
      <c r="E57" s="105" t="str">
        <f>IF(D57="","",VLOOKUP(D57,'10. Condition and Temporal'!$B$6:$D$103,3,FALSE))</f>
        <v/>
      </c>
      <c r="F57" s="857"/>
      <c r="G57" s="858"/>
      <c r="H57" s="71"/>
      <c r="I57" s="716"/>
      <c r="J57" s="717"/>
      <c r="K57" s="717"/>
      <c r="L57" s="859" t="str">
        <f t="shared" si="8"/>
        <v/>
      </c>
      <c r="M57" s="860"/>
      <c r="N57" s="861"/>
      <c r="O57" s="74"/>
      <c r="P57" s="12"/>
      <c r="R57" s="652"/>
      <c r="T57" s="661" t="str">
        <f>IF(D57="","",VLOOKUP(D57,'9. All Habitats + Multipliers'!$C$4:$K$102,5,FALSE))</f>
        <v/>
      </c>
      <c r="U57" s="662"/>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x14ac:dyDescent="0.35">
      <c r="B58" s="265">
        <v>20</v>
      </c>
      <c r="C58" s="554" t="s">
        <v>226</v>
      </c>
      <c r="D58" s="135"/>
      <c r="E58" s="136" t="str">
        <f>IF(D58="","",VLOOKUP(D58,'10. Condition and Temporal'!$B$6:$D$103,3,FALSE))</f>
        <v/>
      </c>
      <c r="F58" s="883"/>
      <c r="G58" s="884"/>
      <c r="H58" s="79"/>
      <c r="I58" s="885"/>
      <c r="J58" s="886"/>
      <c r="K58" s="886"/>
      <c r="L58" s="887" t="str">
        <f t="shared" si="8"/>
        <v/>
      </c>
      <c r="M58" s="888"/>
      <c r="N58" s="889"/>
      <c r="O58" s="75"/>
      <c r="P58" s="14"/>
      <c r="R58" s="652"/>
      <c r="T58" s="661" t="str">
        <f>IF(D58="","",VLOOKUP(D58,'9. All Habitats + Multipliers'!$C$4:$K$102,5,FALSE))</f>
        <v/>
      </c>
      <c r="U58" s="662"/>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x14ac:dyDescent="0.35">
      <c r="H59" s="269" t="s">
        <v>227</v>
      </c>
      <c r="I59" s="816">
        <f>SUM(I39:K58)</f>
        <v>0</v>
      </c>
      <c r="J59" s="817"/>
      <c r="K59" s="818"/>
      <c r="L59" s="862">
        <f>SUM(L39:N58)</f>
        <v>0</v>
      </c>
      <c r="M59" s="926"/>
      <c r="N59" s="863"/>
      <c r="R59" s="652"/>
    </row>
    <row r="60" spans="1:73" s="25" customFormat="1" ht="15" thickBot="1" x14ac:dyDescent="0.35">
      <c r="H60" s="272" t="s">
        <v>97</v>
      </c>
      <c r="I60" s="903" t="str">
        <f>IF(I59&lt;5000,"Lengths Acceptable ✓",IF(I59&gt;=5000,"Length Exceeds Length Appropriate for Small Sites Metric ▲"))</f>
        <v>Lengths Acceptable ✓</v>
      </c>
      <c r="J60" s="903"/>
      <c r="K60" s="903"/>
      <c r="L60" s="903"/>
      <c r="M60" s="903"/>
      <c r="N60" s="904"/>
      <c r="R60" s="652"/>
    </row>
    <row r="61" spans="1:73" s="25" customFormat="1" x14ac:dyDescent="0.3">
      <c r="R61" s="652"/>
      <c r="BA61" s="50" t="s">
        <v>117</v>
      </c>
    </row>
    <row r="62" spans="1:73" s="25" customFormat="1" ht="21" x14ac:dyDescent="0.4">
      <c r="B62" s="57" t="s">
        <v>118</v>
      </c>
      <c r="D62" s="88"/>
      <c r="H62" s="26"/>
      <c r="R62" s="652"/>
      <c r="BA62" s="50" t="s">
        <v>119</v>
      </c>
    </row>
    <row r="63" spans="1:73" s="25" customFormat="1" ht="15" thickBot="1" x14ac:dyDescent="0.35">
      <c r="A63" s="877"/>
      <c r="R63" s="652"/>
    </row>
    <row r="64" spans="1:73" s="25" customFormat="1" ht="16.2" customHeight="1" thickBot="1" x14ac:dyDescent="0.35">
      <c r="A64" s="877"/>
      <c r="B64" s="684" t="s">
        <v>120</v>
      </c>
      <c r="C64" s="680" t="s">
        <v>121</v>
      </c>
      <c r="D64" s="682"/>
      <c r="E64" s="723" t="s">
        <v>122</v>
      </c>
      <c r="F64" s="724"/>
      <c r="G64" s="725"/>
      <c r="H64" s="666" t="s">
        <v>123</v>
      </c>
      <c r="I64" s="666" t="s">
        <v>230</v>
      </c>
      <c r="J64" s="812" t="s">
        <v>125</v>
      </c>
      <c r="K64" s="813"/>
      <c r="L64" s="761" t="s">
        <v>126</v>
      </c>
      <c r="M64" s="681" t="s">
        <v>127</v>
      </c>
      <c r="N64" s="682"/>
      <c r="O64" s="747" t="s">
        <v>68</v>
      </c>
      <c r="P64" s="748"/>
      <c r="R64" s="652"/>
      <c r="T64" s="659" t="s">
        <v>128</v>
      </c>
      <c r="U64" s="660"/>
      <c r="V64" s="660"/>
      <c r="W64" s="660"/>
      <c r="X64" s="660"/>
      <c r="Y64" s="660"/>
      <c r="Z64" s="660"/>
      <c r="AA64" s="660"/>
      <c r="AB64" s="660"/>
      <c r="AC64" s="660"/>
      <c r="AD64" s="665"/>
      <c r="AE64" s="666" t="s">
        <v>129</v>
      </c>
      <c r="AF64" s="659" t="s">
        <v>130</v>
      </c>
      <c r="AG64" s="660"/>
      <c r="AH64" s="660"/>
      <c r="AI64" s="660"/>
      <c r="AJ64" s="925"/>
      <c r="AK64" s="925"/>
      <c r="AL64" s="925"/>
      <c r="AM64" s="925"/>
      <c r="AN64" s="925"/>
      <c r="AO64" s="660"/>
      <c r="AP64" s="665"/>
      <c r="AQ64" s="668" t="s">
        <v>131</v>
      </c>
      <c r="AR64" s="659" t="s">
        <v>130</v>
      </c>
      <c r="AS64" s="660"/>
      <c r="AT64" s="660"/>
      <c r="AU64" s="660"/>
      <c r="AV64" s="660"/>
      <c r="AW64" s="660"/>
      <c r="AX64" s="665"/>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x14ac:dyDescent="0.35">
      <c r="A65" s="877"/>
      <c r="B65" s="685"/>
      <c r="C65" s="211" t="s">
        <v>133</v>
      </c>
      <c r="D65" s="90" t="s">
        <v>134</v>
      </c>
      <c r="E65" s="86" t="s">
        <v>135</v>
      </c>
      <c r="F65" s="721" t="s">
        <v>136</v>
      </c>
      <c r="G65" s="722"/>
      <c r="H65" s="667"/>
      <c r="I65" s="667"/>
      <c r="J65" s="814"/>
      <c r="K65" s="815"/>
      <c r="L65" s="867"/>
      <c r="M65" s="839"/>
      <c r="N65" s="840"/>
      <c r="O65" s="196" t="s">
        <v>83</v>
      </c>
      <c r="P65" s="90" t="s">
        <v>84</v>
      </c>
      <c r="R65" s="652"/>
      <c r="T65" s="332" t="s">
        <v>137</v>
      </c>
      <c r="U65" s="351" t="s">
        <v>138</v>
      </c>
      <c r="V65" s="350" t="s">
        <v>139</v>
      </c>
      <c r="W65" s="351" t="s">
        <v>140</v>
      </c>
      <c r="X65" s="354" t="s">
        <v>141</v>
      </c>
      <c r="Y65" s="355"/>
      <c r="Z65" s="355"/>
      <c r="AA65" s="355"/>
      <c r="AB65" s="354" t="s">
        <v>142</v>
      </c>
      <c r="AC65" s="353" t="s">
        <v>143</v>
      </c>
      <c r="AD65" s="350" t="s">
        <v>144</v>
      </c>
      <c r="AE65" s="667"/>
      <c r="AF65" s="333" t="s">
        <v>137</v>
      </c>
      <c r="AG65" s="351" t="s">
        <v>85</v>
      </c>
      <c r="AH65" s="350" t="s">
        <v>86</v>
      </c>
      <c r="AI65" s="333" t="s">
        <v>87</v>
      </c>
      <c r="AJ65" s="357" t="s">
        <v>86</v>
      </c>
      <c r="AK65" s="366"/>
      <c r="AL65" s="366"/>
      <c r="AM65" s="366"/>
      <c r="AN65" s="358" t="s">
        <v>71</v>
      </c>
      <c r="AO65" s="352" t="s">
        <v>71</v>
      </c>
      <c r="AP65" s="350" t="s">
        <v>88</v>
      </c>
      <c r="AQ65" s="924"/>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6" x14ac:dyDescent="0.3">
      <c r="B66" s="270">
        <v>1</v>
      </c>
      <c r="C66" s="415" t="str">
        <f t="shared" ref="C66:C85" si="12">IF(D66="","",C11)</f>
        <v/>
      </c>
      <c r="D66" s="416" t="str">
        <f>IF(OR(K11="", K11=0),"",D11)</f>
        <v/>
      </c>
      <c r="E66" s="417" t="str">
        <f t="shared" ref="E66:E85" si="13">IF(AX66="","",AX66)</f>
        <v/>
      </c>
      <c r="F66" s="881"/>
      <c r="G66" s="882"/>
      <c r="H66" s="418" t="str">
        <f t="shared" ref="H66:H85" si="14">IF(D66="","",AB66)</f>
        <v/>
      </c>
      <c r="I66" s="419" t="str">
        <f>IF(OR(K11="", K11=0),"",K11)</f>
        <v/>
      </c>
      <c r="J66" s="878" t="str">
        <f>IFERROR(IF(F66="","",VLOOKUP(F66,'10. Condition and Temporal'!$B$6:$F$103,5,FALSE)), "Error ▲")</f>
        <v/>
      </c>
      <c r="K66" s="879"/>
      <c r="L66" s="295" t="str">
        <f>IFERROR(IF(D66="","",IF(AX66="Distinctiveness",(((((I66*AH66*AJ66)-(I66*V66*X66))*(AV66*AT66))+(I66*V66*X66))*AP66/1000),((((I66*AH66*AJ66)-(I66*V66*X66))*(AV66*AR66))+(I66*V66*X66))*AP66/1000)),"This intervention is not permitted within the SSM ▲")</f>
        <v/>
      </c>
      <c r="M66" s="868" t="str">
        <f>IFERROR(IF(F66="","",L66-AD66), "Error ▲")</f>
        <v/>
      </c>
      <c r="N66" s="869"/>
      <c r="O66" s="217"/>
      <c r="P66" s="142"/>
      <c r="R66" s="652"/>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6" x14ac:dyDescent="0.3">
      <c r="B67" s="264">
        <v>2</v>
      </c>
      <c r="C67" s="119" t="str">
        <f t="shared" si="12"/>
        <v/>
      </c>
      <c r="D67" s="208" t="str">
        <f t="shared" ref="D67:D85" si="43">IF(OR(K12="", K12=0),"",D12)</f>
        <v/>
      </c>
      <c r="E67" s="166" t="str">
        <f t="shared" si="13"/>
        <v/>
      </c>
      <c r="F67" s="670"/>
      <c r="G67" s="671"/>
      <c r="H67" s="163" t="str">
        <f t="shared" si="14"/>
        <v/>
      </c>
      <c r="I67" s="320" t="str">
        <f t="shared" ref="I67:I85" si="44">IF(OR(K12="", K12=0),"",K12)</f>
        <v/>
      </c>
      <c r="J67" s="865" t="str">
        <f>IFERROR(IF(F67="","",VLOOKUP(F67,'10. Condition and Temporal'!$B$6:$F$103,5,FALSE)), "Error ▲")</f>
        <v/>
      </c>
      <c r="K67" s="866"/>
      <c r="L67" s="283" t="str">
        <f t="shared" ref="L67:L85" si="45">IFERROR(IF(D67="","",IF(AX67="Distinctiveness",(((((I67*AH67*AJ67)-(I67*V67*X67))*(AV67*AT67))+(I67*V67*X67))*AP67/1000),((((I67*AH67*AJ67)-(I67*V67*X67))*(AV67*AR67))+(I67*V67*X67))*AP67/1000)),"This intervention is not permitted within the SSM ▲")</f>
        <v/>
      </c>
      <c r="M67" s="710" t="str">
        <f t="shared" ref="M67:M85" si="46">IFERROR(IF(F67="","",L67-AD67), "Error ▲")</f>
        <v/>
      </c>
      <c r="N67" s="864"/>
      <c r="O67" s="74"/>
      <c r="P67" s="12"/>
      <c r="R67" s="652"/>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6" x14ac:dyDescent="0.3">
      <c r="B68" s="264">
        <v>3</v>
      </c>
      <c r="C68" s="119" t="str">
        <f t="shared" si="12"/>
        <v/>
      </c>
      <c r="D68" s="208" t="str">
        <f t="shared" si="43"/>
        <v/>
      </c>
      <c r="E68" s="166" t="str">
        <f t="shared" si="13"/>
        <v/>
      </c>
      <c r="F68" s="670"/>
      <c r="G68" s="671"/>
      <c r="H68" s="163" t="str">
        <f t="shared" si="14"/>
        <v/>
      </c>
      <c r="I68" s="320" t="str">
        <f t="shared" si="44"/>
        <v/>
      </c>
      <c r="J68" s="865" t="str">
        <f>IFERROR(IF(F68="","",VLOOKUP(F68,'10. Condition and Temporal'!$B$6:$F$103,5,FALSE)), "Error ▲")</f>
        <v/>
      </c>
      <c r="K68" s="866"/>
      <c r="L68" s="283" t="str">
        <f t="shared" si="45"/>
        <v/>
      </c>
      <c r="M68" s="710" t="str">
        <f t="shared" si="46"/>
        <v/>
      </c>
      <c r="N68" s="864"/>
      <c r="O68" s="74"/>
      <c r="P68" s="12"/>
      <c r="R68" s="652"/>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6" x14ac:dyDescent="0.3">
      <c r="B69" s="264">
        <v>4</v>
      </c>
      <c r="C69" s="119" t="str">
        <f t="shared" si="12"/>
        <v/>
      </c>
      <c r="D69" s="208" t="str">
        <f t="shared" si="43"/>
        <v/>
      </c>
      <c r="E69" s="166" t="str">
        <f t="shared" si="13"/>
        <v/>
      </c>
      <c r="F69" s="670"/>
      <c r="G69" s="671"/>
      <c r="H69" s="163" t="str">
        <f t="shared" si="14"/>
        <v/>
      </c>
      <c r="I69" s="320" t="str">
        <f t="shared" si="44"/>
        <v/>
      </c>
      <c r="J69" s="865" t="str">
        <f>IFERROR(IF(F69="","",VLOOKUP(F69,'10. Condition and Temporal'!$B$6:$F$103,5,FALSE)), "Error ▲")</f>
        <v/>
      </c>
      <c r="K69" s="866"/>
      <c r="L69" s="283" t="str">
        <f t="shared" si="45"/>
        <v/>
      </c>
      <c r="M69" s="710" t="str">
        <f t="shared" si="46"/>
        <v/>
      </c>
      <c r="N69" s="864"/>
      <c r="O69" s="74"/>
      <c r="P69" s="12"/>
      <c r="R69" s="652"/>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6" x14ac:dyDescent="0.3">
      <c r="B70" s="264">
        <v>5</v>
      </c>
      <c r="C70" s="119" t="str">
        <f t="shared" si="12"/>
        <v/>
      </c>
      <c r="D70" s="208" t="str">
        <f t="shared" si="43"/>
        <v/>
      </c>
      <c r="E70" s="166" t="str">
        <f t="shared" si="13"/>
        <v/>
      </c>
      <c r="F70" s="670"/>
      <c r="G70" s="671"/>
      <c r="H70" s="163" t="str">
        <f t="shared" si="14"/>
        <v/>
      </c>
      <c r="I70" s="320" t="str">
        <f t="shared" si="44"/>
        <v/>
      </c>
      <c r="J70" s="865" t="str">
        <f>IFERROR(IF(F70="","",VLOOKUP(F70,'10. Condition and Temporal'!$B$6:$F$103,5,FALSE)), "Error ▲")</f>
        <v/>
      </c>
      <c r="K70" s="866"/>
      <c r="L70" s="283" t="str">
        <f t="shared" si="45"/>
        <v/>
      </c>
      <c r="M70" s="710" t="str">
        <f t="shared" si="46"/>
        <v/>
      </c>
      <c r="N70" s="864"/>
      <c r="O70" s="74"/>
      <c r="P70" s="12"/>
      <c r="R70" s="652"/>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6" x14ac:dyDescent="0.3">
      <c r="B71" s="264">
        <v>6</v>
      </c>
      <c r="C71" s="119" t="str">
        <f t="shared" si="12"/>
        <v/>
      </c>
      <c r="D71" s="208" t="str">
        <f t="shared" si="43"/>
        <v/>
      </c>
      <c r="E71" s="166" t="str">
        <f t="shared" si="13"/>
        <v/>
      </c>
      <c r="F71" s="670"/>
      <c r="G71" s="671"/>
      <c r="H71" s="163" t="str">
        <f t="shared" si="14"/>
        <v/>
      </c>
      <c r="I71" s="320" t="str">
        <f t="shared" si="44"/>
        <v/>
      </c>
      <c r="J71" s="865" t="str">
        <f>IFERROR(IF(F71="","",VLOOKUP(F71,'10. Condition and Temporal'!$B$6:$F$103,5,FALSE)), "Error ▲")</f>
        <v/>
      </c>
      <c r="K71" s="866"/>
      <c r="L71" s="283" t="str">
        <f t="shared" si="45"/>
        <v/>
      </c>
      <c r="M71" s="710" t="str">
        <f t="shared" si="46"/>
        <v/>
      </c>
      <c r="N71" s="864"/>
      <c r="O71" s="74"/>
      <c r="P71" s="12"/>
      <c r="R71" s="652"/>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6" x14ac:dyDescent="0.3">
      <c r="B72" s="264">
        <v>7</v>
      </c>
      <c r="C72" s="119" t="str">
        <f t="shared" si="12"/>
        <v/>
      </c>
      <c r="D72" s="208" t="str">
        <f t="shared" si="43"/>
        <v/>
      </c>
      <c r="E72" s="166" t="str">
        <f t="shared" si="13"/>
        <v/>
      </c>
      <c r="F72" s="670"/>
      <c r="G72" s="671"/>
      <c r="H72" s="163" t="str">
        <f t="shared" si="14"/>
        <v/>
      </c>
      <c r="I72" s="320" t="str">
        <f t="shared" si="44"/>
        <v/>
      </c>
      <c r="J72" s="865" t="str">
        <f>IFERROR(IF(F72="","",VLOOKUP(F72,'10. Condition and Temporal'!$B$6:$F$103,5,FALSE)), "Error ▲")</f>
        <v/>
      </c>
      <c r="K72" s="866"/>
      <c r="L72" s="283" t="str">
        <f t="shared" si="45"/>
        <v/>
      </c>
      <c r="M72" s="710" t="str">
        <f t="shared" si="46"/>
        <v/>
      </c>
      <c r="N72" s="864"/>
      <c r="O72" s="74"/>
      <c r="P72" s="12"/>
      <c r="R72" s="652"/>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6" x14ac:dyDescent="0.3">
      <c r="B73" s="264">
        <v>8</v>
      </c>
      <c r="C73" s="119" t="str">
        <f t="shared" si="12"/>
        <v/>
      </c>
      <c r="D73" s="208" t="str">
        <f t="shared" si="43"/>
        <v/>
      </c>
      <c r="E73" s="166" t="str">
        <f t="shared" si="13"/>
        <v/>
      </c>
      <c r="F73" s="670"/>
      <c r="G73" s="671"/>
      <c r="H73" s="163" t="str">
        <f t="shared" si="14"/>
        <v/>
      </c>
      <c r="I73" s="320" t="str">
        <f t="shared" si="44"/>
        <v/>
      </c>
      <c r="J73" s="865" t="str">
        <f>IFERROR(IF(F73="","",VLOOKUP(F73,'10. Condition and Temporal'!$B$6:$F$103,5,FALSE)), "Error ▲")</f>
        <v/>
      </c>
      <c r="K73" s="866"/>
      <c r="L73" s="283" t="str">
        <f t="shared" si="45"/>
        <v/>
      </c>
      <c r="M73" s="710" t="str">
        <f t="shared" si="46"/>
        <v/>
      </c>
      <c r="N73" s="864"/>
      <c r="O73" s="74"/>
      <c r="P73" s="12"/>
      <c r="R73" s="652"/>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6" x14ac:dyDescent="0.3">
      <c r="B74" s="264">
        <v>9</v>
      </c>
      <c r="C74" s="119" t="str">
        <f t="shared" si="12"/>
        <v/>
      </c>
      <c r="D74" s="208" t="str">
        <f t="shared" si="43"/>
        <v/>
      </c>
      <c r="E74" s="166" t="str">
        <f t="shared" si="13"/>
        <v/>
      </c>
      <c r="F74" s="670"/>
      <c r="G74" s="671"/>
      <c r="H74" s="163" t="str">
        <f t="shared" si="14"/>
        <v/>
      </c>
      <c r="I74" s="320" t="str">
        <f t="shared" si="44"/>
        <v/>
      </c>
      <c r="J74" s="865" t="str">
        <f>IFERROR(IF(F74="","",VLOOKUP(F74,'10. Condition and Temporal'!$B$6:$F$103,5,FALSE)), "Error ▲")</f>
        <v/>
      </c>
      <c r="K74" s="866"/>
      <c r="L74" s="283" t="str">
        <f t="shared" si="45"/>
        <v/>
      </c>
      <c r="M74" s="710" t="str">
        <f t="shared" si="46"/>
        <v/>
      </c>
      <c r="N74" s="864"/>
      <c r="O74" s="74"/>
      <c r="P74" s="12"/>
      <c r="R74" s="652"/>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6" x14ac:dyDescent="0.3">
      <c r="B75" s="264">
        <v>10</v>
      </c>
      <c r="C75" s="119" t="str">
        <f t="shared" si="12"/>
        <v/>
      </c>
      <c r="D75" s="208" t="str">
        <f t="shared" si="43"/>
        <v/>
      </c>
      <c r="E75" s="166" t="str">
        <f t="shared" si="13"/>
        <v/>
      </c>
      <c r="F75" s="670"/>
      <c r="G75" s="671"/>
      <c r="H75" s="163" t="str">
        <f t="shared" si="14"/>
        <v/>
      </c>
      <c r="I75" s="320" t="str">
        <f t="shared" si="44"/>
        <v/>
      </c>
      <c r="J75" s="865" t="str">
        <f>IFERROR(IF(F75="","",VLOOKUP(F75,'10. Condition and Temporal'!$B$6:$F$103,5,FALSE)), "Error ▲")</f>
        <v/>
      </c>
      <c r="K75" s="866"/>
      <c r="L75" s="283" t="str">
        <f t="shared" si="45"/>
        <v/>
      </c>
      <c r="M75" s="710" t="str">
        <f t="shared" si="46"/>
        <v/>
      </c>
      <c r="N75" s="864"/>
      <c r="O75" s="74"/>
      <c r="P75" s="12"/>
      <c r="R75" s="652"/>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6" x14ac:dyDescent="0.3">
      <c r="B76" s="264">
        <v>11</v>
      </c>
      <c r="C76" s="119" t="str">
        <f t="shared" si="12"/>
        <v/>
      </c>
      <c r="D76" s="208" t="str">
        <f t="shared" si="43"/>
        <v/>
      </c>
      <c r="E76" s="166" t="str">
        <f t="shared" si="13"/>
        <v/>
      </c>
      <c r="F76" s="670"/>
      <c r="G76" s="671"/>
      <c r="H76" s="163" t="str">
        <f t="shared" si="14"/>
        <v/>
      </c>
      <c r="I76" s="320" t="str">
        <f t="shared" si="44"/>
        <v/>
      </c>
      <c r="J76" s="865" t="str">
        <f>IFERROR(IF(F76="","",VLOOKUP(F76,'10. Condition and Temporal'!$B$6:$F$103,5,FALSE)), "Error ▲")</f>
        <v/>
      </c>
      <c r="K76" s="866"/>
      <c r="L76" s="283" t="str">
        <f t="shared" si="45"/>
        <v/>
      </c>
      <c r="M76" s="710" t="str">
        <f t="shared" si="46"/>
        <v/>
      </c>
      <c r="N76" s="864"/>
      <c r="O76" s="74"/>
      <c r="P76" s="12"/>
      <c r="R76" s="652"/>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6" x14ac:dyDescent="0.3">
      <c r="B77" s="264">
        <v>12</v>
      </c>
      <c r="C77" s="119" t="str">
        <f t="shared" si="12"/>
        <v/>
      </c>
      <c r="D77" s="208" t="str">
        <f t="shared" si="43"/>
        <v/>
      </c>
      <c r="E77" s="166" t="str">
        <f t="shared" si="13"/>
        <v/>
      </c>
      <c r="F77" s="670"/>
      <c r="G77" s="671"/>
      <c r="H77" s="163" t="str">
        <f t="shared" si="14"/>
        <v/>
      </c>
      <c r="I77" s="320" t="str">
        <f t="shared" si="44"/>
        <v/>
      </c>
      <c r="J77" s="865" t="str">
        <f>IFERROR(IF(F77="","",VLOOKUP(F77,'10. Condition and Temporal'!$B$6:$F$103,5,FALSE)), "Error ▲")</f>
        <v/>
      </c>
      <c r="K77" s="866"/>
      <c r="L77" s="283" t="str">
        <f t="shared" si="45"/>
        <v/>
      </c>
      <c r="M77" s="710" t="str">
        <f t="shared" si="46"/>
        <v/>
      </c>
      <c r="N77" s="864"/>
      <c r="O77" s="74"/>
      <c r="P77" s="12"/>
      <c r="R77" s="652"/>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6" x14ac:dyDescent="0.3">
      <c r="B78" s="264">
        <v>13</v>
      </c>
      <c r="C78" s="119" t="str">
        <f t="shared" si="12"/>
        <v/>
      </c>
      <c r="D78" s="208" t="str">
        <f t="shared" si="43"/>
        <v/>
      </c>
      <c r="E78" s="166" t="str">
        <f t="shared" si="13"/>
        <v/>
      </c>
      <c r="F78" s="670"/>
      <c r="G78" s="671"/>
      <c r="H78" s="163" t="str">
        <f t="shared" si="14"/>
        <v/>
      </c>
      <c r="I78" s="320" t="str">
        <f t="shared" si="44"/>
        <v/>
      </c>
      <c r="J78" s="865" t="str">
        <f>IFERROR(IF(F78="","",VLOOKUP(F78,'10. Condition and Temporal'!$B$6:$F$103,5,FALSE)), "Error ▲")</f>
        <v/>
      </c>
      <c r="K78" s="866"/>
      <c r="L78" s="283" t="str">
        <f>IFERROR(IF(D78="","",IF(AX78="Distinctiveness",(((((I78*AH78*AJ78)-(I78*V78*X78))*(AV78*AT78))+(I78*V78*X78))*AP78/1000),((((I78*AH78*AJ78)-(I78*V78*X78))*(AV78*AR78))+(I78*V78*X78))*AP78/1000)),"This intervention is not permitted within the SSM ▲")</f>
        <v/>
      </c>
      <c r="M78" s="710" t="str">
        <f t="shared" si="46"/>
        <v/>
      </c>
      <c r="N78" s="864"/>
      <c r="O78" s="74"/>
      <c r="P78" s="12"/>
      <c r="R78" s="652"/>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6" x14ac:dyDescent="0.3">
      <c r="B79" s="264">
        <v>14</v>
      </c>
      <c r="C79" s="119" t="str">
        <f t="shared" si="12"/>
        <v/>
      </c>
      <c r="D79" s="208" t="str">
        <f t="shared" si="43"/>
        <v/>
      </c>
      <c r="E79" s="166" t="str">
        <f t="shared" si="13"/>
        <v/>
      </c>
      <c r="F79" s="670"/>
      <c r="G79" s="671"/>
      <c r="H79" s="163" t="str">
        <f t="shared" si="14"/>
        <v/>
      </c>
      <c r="I79" s="320" t="str">
        <f t="shared" si="44"/>
        <v/>
      </c>
      <c r="J79" s="865" t="str">
        <f>IFERROR(IF(F79="","",VLOOKUP(F79,'10. Condition and Temporal'!$B$6:$F$103,5,FALSE)), "Error ▲")</f>
        <v/>
      </c>
      <c r="K79" s="866"/>
      <c r="L79" s="283" t="str">
        <f t="shared" si="45"/>
        <v/>
      </c>
      <c r="M79" s="710" t="str">
        <f t="shared" si="46"/>
        <v/>
      </c>
      <c r="N79" s="864"/>
      <c r="O79" s="74"/>
      <c r="P79" s="12"/>
      <c r="R79" s="652"/>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6" x14ac:dyDescent="0.3">
      <c r="B80" s="264">
        <v>15</v>
      </c>
      <c r="C80" s="119" t="str">
        <f t="shared" si="12"/>
        <v/>
      </c>
      <c r="D80" s="208" t="str">
        <f t="shared" si="43"/>
        <v/>
      </c>
      <c r="E80" s="166" t="str">
        <f t="shared" si="13"/>
        <v/>
      </c>
      <c r="F80" s="670"/>
      <c r="G80" s="671"/>
      <c r="H80" s="163" t="str">
        <f t="shared" si="14"/>
        <v/>
      </c>
      <c r="I80" s="320" t="str">
        <f t="shared" si="44"/>
        <v/>
      </c>
      <c r="J80" s="865" t="str">
        <f>IFERROR(IF(F80="","",VLOOKUP(F80,'10. Condition and Temporal'!$B$6:$F$103,5,FALSE)), "Error ▲")</f>
        <v/>
      </c>
      <c r="K80" s="866"/>
      <c r="L80" s="283" t="str">
        <f t="shared" si="45"/>
        <v/>
      </c>
      <c r="M80" s="710" t="str">
        <f t="shared" si="46"/>
        <v/>
      </c>
      <c r="N80" s="864"/>
      <c r="O80" s="74"/>
      <c r="P80" s="12"/>
      <c r="R80" s="652"/>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6" x14ac:dyDescent="0.3">
      <c r="B81" s="264">
        <v>16</v>
      </c>
      <c r="C81" s="119" t="str">
        <f t="shared" si="12"/>
        <v/>
      </c>
      <c r="D81" s="208" t="str">
        <f t="shared" si="43"/>
        <v/>
      </c>
      <c r="E81" s="166" t="str">
        <f t="shared" si="13"/>
        <v/>
      </c>
      <c r="F81" s="670"/>
      <c r="G81" s="671"/>
      <c r="H81" s="163" t="str">
        <f t="shared" si="14"/>
        <v/>
      </c>
      <c r="I81" s="320" t="str">
        <f t="shared" si="44"/>
        <v/>
      </c>
      <c r="J81" s="865" t="str">
        <f>IFERROR(IF(F81="","",VLOOKUP(F81,'10. Condition and Temporal'!$B$6:$F$103,5,FALSE)), "Error ▲")</f>
        <v/>
      </c>
      <c r="K81" s="866"/>
      <c r="L81" s="283" t="str">
        <f t="shared" si="45"/>
        <v/>
      </c>
      <c r="M81" s="710" t="str">
        <f t="shared" si="46"/>
        <v/>
      </c>
      <c r="N81" s="864"/>
      <c r="O81" s="74"/>
      <c r="P81" s="12"/>
      <c r="R81" s="652"/>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6" x14ac:dyDescent="0.3">
      <c r="B82" s="264">
        <v>17</v>
      </c>
      <c r="C82" s="119" t="str">
        <f t="shared" si="12"/>
        <v/>
      </c>
      <c r="D82" s="208" t="str">
        <f t="shared" si="43"/>
        <v/>
      </c>
      <c r="E82" s="166" t="str">
        <f t="shared" si="13"/>
        <v/>
      </c>
      <c r="F82" s="670"/>
      <c r="G82" s="671"/>
      <c r="H82" s="163" t="str">
        <f t="shared" si="14"/>
        <v/>
      </c>
      <c r="I82" s="320" t="str">
        <f t="shared" si="44"/>
        <v/>
      </c>
      <c r="J82" s="865" t="str">
        <f>IFERROR(IF(F82="","",VLOOKUP(F82,'10. Condition and Temporal'!$B$6:$F$103,5,FALSE)), "Error ▲")</f>
        <v/>
      </c>
      <c r="K82" s="866"/>
      <c r="L82" s="283" t="str">
        <f t="shared" si="45"/>
        <v/>
      </c>
      <c r="M82" s="710" t="str">
        <f t="shared" si="46"/>
        <v/>
      </c>
      <c r="N82" s="864"/>
      <c r="O82" s="74"/>
      <c r="P82" s="12"/>
      <c r="R82" s="652"/>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6" x14ac:dyDescent="0.3">
      <c r="B83" s="264">
        <v>18</v>
      </c>
      <c r="C83" s="119" t="str">
        <f t="shared" si="12"/>
        <v/>
      </c>
      <c r="D83" s="208" t="str">
        <f t="shared" si="43"/>
        <v/>
      </c>
      <c r="E83" s="166" t="str">
        <f t="shared" si="13"/>
        <v/>
      </c>
      <c r="F83" s="670"/>
      <c r="G83" s="671"/>
      <c r="H83" s="163" t="str">
        <f t="shared" si="14"/>
        <v/>
      </c>
      <c r="I83" s="320" t="str">
        <f t="shared" si="44"/>
        <v/>
      </c>
      <c r="J83" s="865" t="str">
        <f>IFERROR(IF(F83="","",VLOOKUP(F83,'10. Condition and Temporal'!$B$6:$F$103,5,FALSE)), "Error ▲")</f>
        <v/>
      </c>
      <c r="K83" s="866"/>
      <c r="L83" s="283" t="str">
        <f t="shared" si="45"/>
        <v/>
      </c>
      <c r="M83" s="710" t="str">
        <f t="shared" si="46"/>
        <v/>
      </c>
      <c r="N83" s="864"/>
      <c r="O83" s="74"/>
      <c r="P83" s="12"/>
      <c r="R83" s="652"/>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6" x14ac:dyDescent="0.3">
      <c r="B84" s="264">
        <v>19</v>
      </c>
      <c r="C84" s="119" t="str">
        <f t="shared" si="12"/>
        <v/>
      </c>
      <c r="D84" s="208" t="str">
        <f t="shared" si="43"/>
        <v/>
      </c>
      <c r="E84" s="166" t="str">
        <f t="shared" si="13"/>
        <v/>
      </c>
      <c r="F84" s="670"/>
      <c r="G84" s="671"/>
      <c r="H84" s="163" t="str">
        <f t="shared" si="14"/>
        <v/>
      </c>
      <c r="I84" s="320" t="str">
        <f t="shared" si="44"/>
        <v/>
      </c>
      <c r="J84" s="865" t="str">
        <f>IFERROR(IF(F84="","",VLOOKUP(F84,'10. Condition and Temporal'!$B$6:$F$103,5,FALSE)), "Error ▲")</f>
        <v/>
      </c>
      <c r="K84" s="866"/>
      <c r="L84" s="283" t="str">
        <f t="shared" si="45"/>
        <v/>
      </c>
      <c r="M84" s="710" t="str">
        <f t="shared" si="46"/>
        <v/>
      </c>
      <c r="N84" s="864"/>
      <c r="O84" s="74"/>
      <c r="P84" s="12"/>
      <c r="R84" s="652"/>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2" thickBot="1" x14ac:dyDescent="0.35">
      <c r="B85" s="265">
        <v>20</v>
      </c>
      <c r="C85" s="138" t="str">
        <f t="shared" si="12"/>
        <v/>
      </c>
      <c r="D85" s="420" t="str">
        <f t="shared" si="43"/>
        <v/>
      </c>
      <c r="E85" s="167" t="str">
        <f t="shared" si="13"/>
        <v/>
      </c>
      <c r="F85" s="674"/>
      <c r="G85" s="675"/>
      <c r="H85" s="164" t="str">
        <f t="shared" si="14"/>
        <v/>
      </c>
      <c r="I85" s="421" t="str">
        <f t="shared" si="44"/>
        <v/>
      </c>
      <c r="J85" s="875" t="str">
        <f>IFERROR(IF(F85="","",VLOOKUP(F85,'10. Condition and Temporal'!$B$6:$F$103,5,FALSE)), "Error ▲")</f>
        <v/>
      </c>
      <c r="K85" s="876"/>
      <c r="L85" s="422" t="str">
        <f t="shared" si="45"/>
        <v/>
      </c>
      <c r="M85" s="880" t="str">
        <f t="shared" si="46"/>
        <v/>
      </c>
      <c r="N85" s="863"/>
      <c r="O85" s="75"/>
      <c r="P85" s="14"/>
      <c r="R85" s="652"/>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5" thickBot="1" x14ac:dyDescent="0.35">
      <c r="H86" s="268" t="s">
        <v>227</v>
      </c>
      <c r="I86" s="322">
        <f>SUM(I66:I85)</f>
        <v>0</v>
      </c>
      <c r="J86" s="414"/>
      <c r="L86" s="391">
        <f>SUM(L66:L85)</f>
        <v>0</v>
      </c>
      <c r="M86" s="862">
        <f>SUM(M66:N85)</f>
        <v>0</v>
      </c>
      <c r="N86" s="863"/>
      <c r="R86" s="652"/>
    </row>
    <row r="87" spans="1:76" s="25" customFormat="1" x14ac:dyDescent="0.3">
      <c r="C87" s="26"/>
      <c r="R87" s="652"/>
    </row>
    <row r="88" spans="1:76" s="25" customFormat="1" x14ac:dyDescent="0.3">
      <c r="R88" s="652"/>
    </row>
    <row r="89" spans="1:76" s="25" customFormat="1" ht="19.2" customHeight="1" x14ac:dyDescent="0.3">
      <c r="R89" s="652"/>
    </row>
    <row r="90" spans="1:76" s="25" customFormat="1" x14ac:dyDescent="0.3">
      <c r="R90" s="652"/>
    </row>
    <row r="91" spans="1:76" s="25" customFormat="1" x14ac:dyDescent="0.3">
      <c r="A91" s="730" t="s">
        <v>191</v>
      </c>
      <c r="B91" s="730"/>
      <c r="C91" s="730"/>
      <c r="D91" s="730"/>
      <c r="E91" s="730"/>
      <c r="F91" s="730"/>
      <c r="G91" s="730"/>
      <c r="H91" s="730"/>
      <c r="I91" s="730"/>
      <c r="J91" s="730"/>
      <c r="K91" s="730"/>
      <c r="L91" s="730"/>
      <c r="M91" s="730"/>
      <c r="N91" s="730"/>
      <c r="O91" s="730"/>
      <c r="P91" s="730"/>
      <c r="Q91" s="730"/>
      <c r="R91" s="652"/>
    </row>
    <row r="92" spans="1:76" s="25" customFormat="1" x14ac:dyDescent="0.3">
      <c r="A92" s="730"/>
      <c r="B92" s="730"/>
      <c r="C92" s="730"/>
      <c r="D92" s="730"/>
      <c r="E92" s="730"/>
      <c r="F92" s="730"/>
      <c r="G92" s="730"/>
      <c r="H92" s="730"/>
      <c r="I92" s="730"/>
      <c r="J92" s="730"/>
      <c r="K92" s="730"/>
      <c r="L92" s="730"/>
      <c r="M92" s="730"/>
      <c r="N92" s="730"/>
      <c r="O92" s="730"/>
      <c r="P92" s="730"/>
      <c r="Q92" s="730"/>
      <c r="R92" s="652"/>
    </row>
    <row r="93" spans="1:76" s="25" customFormat="1" x14ac:dyDescent="0.3">
      <c r="A93" s="730"/>
      <c r="B93" s="730"/>
      <c r="C93" s="730"/>
      <c r="D93" s="730"/>
      <c r="E93" s="730"/>
      <c r="F93" s="730"/>
      <c r="G93" s="730"/>
      <c r="H93" s="730"/>
      <c r="I93" s="730"/>
      <c r="J93" s="730"/>
      <c r="K93" s="730"/>
      <c r="L93" s="730"/>
      <c r="M93" s="730"/>
      <c r="N93" s="730"/>
      <c r="O93" s="730"/>
      <c r="P93" s="730"/>
      <c r="Q93" s="730"/>
      <c r="R93" s="652"/>
    </row>
    <row r="94" spans="1:76" s="25" customFormat="1" x14ac:dyDescent="0.3">
      <c r="R94" s="652"/>
    </row>
    <row r="95" spans="1:76" s="25" customFormat="1" ht="21" x14ac:dyDescent="0.4">
      <c r="B95" s="57" t="s">
        <v>192</v>
      </c>
      <c r="D95" s="26"/>
      <c r="E95" s="26"/>
      <c r="F95" s="26"/>
      <c r="G95" s="26"/>
      <c r="R95" s="652"/>
    </row>
    <row r="96" spans="1:76" s="25" customFormat="1" ht="15" thickBot="1" x14ac:dyDescent="0.35">
      <c r="R96" s="652"/>
    </row>
    <row r="97" spans="2:18" s="25" customFormat="1" ht="36.6" customHeight="1" thickBot="1" x14ac:dyDescent="0.35">
      <c r="B97" s="870" t="s">
        <v>232</v>
      </c>
      <c r="C97" s="871"/>
      <c r="D97" s="872"/>
      <c r="E97" s="873" t="str" cm="1">
        <f t="array" aca="1" ref="E97" ca="1">IF(OR(H103:H113="No ▲"),"Error - Trading Rules Not Satisfied ▲","Trading Rules Satisfied ✓")</f>
        <v>Trading Rules Satisfied ✓</v>
      </c>
      <c r="F97" s="873"/>
      <c r="G97" s="873"/>
      <c r="H97" s="873"/>
      <c r="I97" s="874"/>
      <c r="J97" s="157">
        <f ca="1">IFERROR(FIND("Error",E97),0)</f>
        <v>0</v>
      </c>
      <c r="R97" s="652"/>
    </row>
    <row r="98" spans="2:18" s="25" customFormat="1" x14ac:dyDescent="0.3">
      <c r="R98" s="652"/>
    </row>
    <row r="99" spans="2:18" s="25" customFormat="1" ht="21" x14ac:dyDescent="0.4">
      <c r="B99" s="57" t="s">
        <v>195</v>
      </c>
      <c r="R99" s="652"/>
    </row>
    <row r="100" spans="2:18" s="25" customFormat="1" x14ac:dyDescent="0.3">
      <c r="R100" s="652"/>
    </row>
    <row r="101" spans="2:18" s="25" customFormat="1" ht="15" thickBot="1" x14ac:dyDescent="0.35">
      <c r="R101" s="652"/>
    </row>
    <row r="102" spans="2:18" s="25" customFormat="1" ht="51" customHeight="1" thickBot="1" x14ac:dyDescent="0.35">
      <c r="B102" s="456" t="s">
        <v>133</v>
      </c>
      <c r="C102" s="451" t="s">
        <v>85</v>
      </c>
      <c r="D102" s="451" t="s">
        <v>50</v>
      </c>
      <c r="E102" s="451" t="s">
        <v>198</v>
      </c>
      <c r="F102" s="451" t="s">
        <v>199</v>
      </c>
      <c r="G102" s="451" t="s">
        <v>200</v>
      </c>
      <c r="H102" s="441" t="s">
        <v>201</v>
      </c>
      <c r="I102" s="430"/>
      <c r="R102" s="652"/>
    </row>
    <row r="103" spans="2:18" s="25" customFormat="1" ht="30.75" customHeight="1" x14ac:dyDescent="0.3">
      <c r="B103" s="917" t="s">
        <v>226</v>
      </c>
      <c r="C103" s="920" t="s">
        <v>205</v>
      </c>
      <c r="D103" s="452" t="s">
        <v>233</v>
      </c>
      <c r="E103" s="453">
        <f ca="1">SUMIF($D$11:$E$30,D103,$L$11:$L$30)</f>
        <v>0</v>
      </c>
      <c r="F103" s="453">
        <f>IF($I$31+$I$59+$I$86=0,0,SUMIF($D$39:$D$58,D103,$L$39:$N$58)+SUMIF($F$66:$G$85,D103,$L$66:$L$85)+SUMIF($D$11:$E$30,D103,$AE$11:$AE$30))</f>
        <v>0</v>
      </c>
      <c r="G103" s="453">
        <f ca="1">$F$103-$E$103</f>
        <v>0</v>
      </c>
      <c r="H103" s="854" t="str">
        <f ca="1">IF(G108&gt;=0, "Yes ✓", "No ▲")</f>
        <v>Yes ✓</v>
      </c>
      <c r="I103" s="430"/>
      <c r="R103" s="652"/>
    </row>
    <row r="104" spans="2:18" s="25" customFormat="1" ht="30.75" customHeight="1" x14ac:dyDescent="0.3">
      <c r="B104" s="918"/>
      <c r="C104" s="921"/>
      <c r="D104" s="432" t="s">
        <v>234</v>
      </c>
      <c r="E104" s="433">
        <f t="shared" ref="E104:E113" ca="1" si="51">SUMIF($D$11:$E$30,D104,$L$11:$L$30)</f>
        <v>0</v>
      </c>
      <c r="F104" s="433">
        <f t="shared" ref="F104:F113" si="52">IF($I$31+$I$59+$I$86=0,0,SUMIF($D$39:$D$58,D104,$L$39:$N$58)+SUMIF($F$66:$G$85,D104,$L$66:$L$85)+SUMIF($D$11:$E$30,D104,$AE$11:$AE$30))</f>
        <v>0</v>
      </c>
      <c r="G104" s="433">
        <f ca="1">$F$104-$E$104</f>
        <v>0</v>
      </c>
      <c r="H104" s="855"/>
      <c r="I104" s="430"/>
      <c r="R104" s="652"/>
    </row>
    <row r="105" spans="2:18" s="25" customFormat="1" ht="30.75" customHeight="1" x14ac:dyDescent="0.3">
      <c r="B105" s="918"/>
      <c r="C105" s="921"/>
      <c r="D105" s="432" t="s">
        <v>235</v>
      </c>
      <c r="E105" s="433">
        <f t="shared" ca="1" si="51"/>
        <v>0</v>
      </c>
      <c r="F105" s="433">
        <f t="shared" si="52"/>
        <v>0</v>
      </c>
      <c r="G105" s="433">
        <f ca="1">$F$105-$E$105</f>
        <v>0</v>
      </c>
      <c r="H105" s="855"/>
      <c r="I105" s="430"/>
      <c r="R105" s="652"/>
    </row>
    <row r="106" spans="2:18" s="25" customFormat="1" ht="30.75" customHeight="1" x14ac:dyDescent="0.3">
      <c r="B106" s="918"/>
      <c r="C106" s="921"/>
      <c r="D106" s="432" t="s">
        <v>236</v>
      </c>
      <c r="E106" s="433">
        <f t="shared" ca="1" si="51"/>
        <v>0</v>
      </c>
      <c r="F106" s="433">
        <f t="shared" si="52"/>
        <v>0</v>
      </c>
      <c r="G106" s="433">
        <f ca="1">$F$106-$E$106</f>
        <v>0</v>
      </c>
      <c r="H106" s="855"/>
      <c r="I106" s="430"/>
      <c r="R106" s="652"/>
    </row>
    <row r="107" spans="2:18" s="25" customFormat="1" ht="30.75" customHeight="1" x14ac:dyDescent="0.3">
      <c r="B107" s="918"/>
      <c r="C107" s="921"/>
      <c r="D107" s="432" t="s">
        <v>237</v>
      </c>
      <c r="E107" s="433">
        <f t="shared" ca="1" si="51"/>
        <v>0</v>
      </c>
      <c r="F107" s="433">
        <f t="shared" si="52"/>
        <v>0</v>
      </c>
      <c r="G107" s="433">
        <f ca="1">$F$107-$E$107</f>
        <v>0</v>
      </c>
      <c r="H107" s="855"/>
      <c r="I107" s="157"/>
      <c r="R107" s="652"/>
    </row>
    <row r="108" spans="2:18" s="25" customFormat="1" ht="30.75" customHeight="1" thickBot="1" x14ac:dyDescent="0.35">
      <c r="B108" s="918"/>
      <c r="C108" s="922"/>
      <c r="D108" s="444" t="s">
        <v>238</v>
      </c>
      <c r="E108" s="445">
        <f ca="1">SUM($E$103:$E$107)</f>
        <v>0</v>
      </c>
      <c r="F108" s="445">
        <f>SUM($F$103:$F$107)</f>
        <v>0</v>
      </c>
      <c r="G108" s="445">
        <f ca="1">SUM($G$103:$G$107)</f>
        <v>0</v>
      </c>
      <c r="H108" s="856"/>
      <c r="I108" s="157">
        <f ca="1">IF($H$103="No ▲",1,0)</f>
        <v>0</v>
      </c>
      <c r="R108" s="652"/>
    </row>
    <row r="109" spans="2:18" s="25" customFormat="1" ht="30.75" customHeight="1" x14ac:dyDescent="0.3">
      <c r="B109" s="918"/>
      <c r="C109" s="920" t="s">
        <v>203</v>
      </c>
      <c r="D109" s="452" t="s">
        <v>239</v>
      </c>
      <c r="E109" s="453">
        <f t="shared" ca="1" si="51"/>
        <v>0</v>
      </c>
      <c r="F109" s="453">
        <f t="shared" si="52"/>
        <v>0</v>
      </c>
      <c r="G109" s="453">
        <f ca="1">$F$109-$E$109</f>
        <v>0</v>
      </c>
      <c r="H109" s="854" t="str">
        <f ca="1">IF(G112&gt;=0,"Yes ✓",IF(E114&gt;=0,"Yes ✓","No ▲"))</f>
        <v>Yes ✓</v>
      </c>
      <c r="I109" s="157"/>
      <c r="R109" s="652"/>
    </row>
    <row r="110" spans="2:18" s="25" customFormat="1" ht="30.75" customHeight="1" x14ac:dyDescent="0.3">
      <c r="B110" s="918"/>
      <c r="C110" s="921"/>
      <c r="D110" s="432" t="s">
        <v>240</v>
      </c>
      <c r="E110" s="433">
        <f t="shared" ca="1" si="51"/>
        <v>0</v>
      </c>
      <c r="F110" s="433">
        <f t="shared" si="52"/>
        <v>0</v>
      </c>
      <c r="G110" s="433">
        <f ca="1">$F$110-$E$110</f>
        <v>0</v>
      </c>
      <c r="H110" s="855"/>
      <c r="I110" s="157"/>
      <c r="R110" s="652"/>
    </row>
    <row r="111" spans="2:18" s="25" customFormat="1" ht="30.75" customHeight="1" x14ac:dyDescent="0.3">
      <c r="B111" s="918"/>
      <c r="C111" s="921"/>
      <c r="D111" s="432" t="s">
        <v>241</v>
      </c>
      <c r="E111" s="433">
        <f t="shared" ca="1" si="51"/>
        <v>0</v>
      </c>
      <c r="F111" s="433">
        <f t="shared" si="52"/>
        <v>0</v>
      </c>
      <c r="G111" s="433">
        <f ca="1">$F$111-$E$111</f>
        <v>0</v>
      </c>
      <c r="H111" s="855"/>
      <c r="I111" s="157"/>
      <c r="R111" s="652"/>
    </row>
    <row r="112" spans="2:18" s="25" customFormat="1" ht="30.75" customHeight="1" thickBot="1" x14ac:dyDescent="0.35">
      <c r="B112" s="918"/>
      <c r="C112" s="922"/>
      <c r="D112" s="444" t="s">
        <v>238</v>
      </c>
      <c r="E112" s="445">
        <f ca="1">SUM($E$109:$E$111)</f>
        <v>0</v>
      </c>
      <c r="F112" s="445">
        <f>SUM($F$109:$F$111)</f>
        <v>0</v>
      </c>
      <c r="G112" s="445">
        <f ca="1">SUM($G$109:$G$111)</f>
        <v>0</v>
      </c>
      <c r="H112" s="856"/>
      <c r="I112" s="157">
        <f ca="1">IF($H$109="No ▲",1,0)</f>
        <v>0</v>
      </c>
      <c r="R112" s="652"/>
    </row>
    <row r="113" spans="2:18" s="25" customFormat="1" ht="30.75" customHeight="1" thickBot="1" x14ac:dyDescent="0.35">
      <c r="B113" s="919"/>
      <c r="C113" s="446" t="s">
        <v>242</v>
      </c>
      <c r="D113" s="454" t="s">
        <v>243</v>
      </c>
      <c r="E113" s="455">
        <f t="shared" ca="1" si="51"/>
        <v>0</v>
      </c>
      <c r="F113" s="455">
        <f t="shared" si="52"/>
        <v>0</v>
      </c>
      <c r="G113" s="455">
        <f ca="1">$F$113-$E$113</f>
        <v>0</v>
      </c>
      <c r="H113" s="449" t="str">
        <f ca="1">IF(G113&gt;=0,"Yes✓",IF(F114&gt;=0,"Yes ✓","No ▲"))</f>
        <v>Yes✓</v>
      </c>
      <c r="I113" s="157">
        <f ca="1">IF($H$113="No ▲",1,0)</f>
        <v>0</v>
      </c>
      <c r="R113" s="652"/>
    </row>
    <row r="114" spans="2:18" s="25" customFormat="1" ht="15" thickBot="1" x14ac:dyDescent="0.35">
      <c r="E114" s="457">
        <f ca="1">G108+G112</f>
        <v>0</v>
      </c>
      <c r="F114" s="434">
        <f ca="1">IF(G108&lt;0,0,($G$108+$G$112+$G$113))</f>
        <v>0</v>
      </c>
      <c r="I114" s="430"/>
      <c r="R114" s="652"/>
    </row>
    <row r="115" spans="2:18" s="25" customFormat="1" ht="24.75" customHeight="1" x14ac:dyDescent="0.3">
      <c r="B115" s="923" t="s">
        <v>244</v>
      </c>
      <c r="C115" s="636"/>
      <c r="D115" s="636"/>
      <c r="E115" s="636"/>
      <c r="F115" s="437">
        <f ca="1">$G$108</f>
        <v>0</v>
      </c>
      <c r="G115" s="434">
        <f ca="1">IF($G$108&lt;=0,0,($G$108+$G$112))</f>
        <v>0</v>
      </c>
      <c r="I115" s="430"/>
      <c r="R115" s="652"/>
    </row>
    <row r="116" spans="2:18" s="25" customFormat="1" ht="21.75" customHeight="1" x14ac:dyDescent="0.3">
      <c r="B116" s="914" t="s">
        <v>245</v>
      </c>
      <c r="C116" s="915"/>
      <c r="D116" s="915"/>
      <c r="E116" s="915"/>
      <c r="F116" s="439">
        <f ca="1">IF($G$108&gt;0,($G$112+$G$108),$G$112)</f>
        <v>0</v>
      </c>
      <c r="G116" s="434">
        <f ca="1">IF($G$108&lt;=0,0,($G$108+$G$112+$G$113))</f>
        <v>0</v>
      </c>
      <c r="R116" s="652"/>
    </row>
    <row r="117" spans="2:18" s="25" customFormat="1" ht="24" customHeight="1" thickBot="1" x14ac:dyDescent="0.35">
      <c r="B117" s="916" t="s">
        <v>246</v>
      </c>
      <c r="C117" s="634"/>
      <c r="D117" s="634"/>
      <c r="E117" s="634"/>
      <c r="F117" s="438">
        <f ca="1">IF($F$116&gt;0,($F$116+$G$113),$G$113)</f>
        <v>0</v>
      </c>
      <c r="G117" s="434"/>
      <c r="R117" s="652"/>
    </row>
    <row r="118" spans="2:18" s="25" customFormat="1" x14ac:dyDescent="0.3">
      <c r="G118" s="434"/>
      <c r="R118" s="652"/>
    </row>
    <row r="119" spans="2:18" s="25" customFormat="1" x14ac:dyDescent="0.3">
      <c r="R119" s="652"/>
    </row>
    <row r="120" spans="2:18" s="25" customFormat="1" x14ac:dyDescent="0.3">
      <c r="R120" s="652"/>
    </row>
    <row r="121" spans="2:18" s="25" customFormat="1" x14ac:dyDescent="0.3">
      <c r="R121" s="652"/>
    </row>
    <row r="122" spans="2:18" s="25" customFormat="1" x14ac:dyDescent="0.3">
      <c r="R122" s="652"/>
    </row>
    <row r="123" spans="2:18" s="25" customFormat="1" x14ac:dyDescent="0.3">
      <c r="R123" s="652"/>
    </row>
    <row r="124" spans="2:18" s="25" customFormat="1" x14ac:dyDescent="0.3">
      <c r="R124" s="652"/>
    </row>
    <row r="125" spans="2:18" s="25" customFormat="1" x14ac:dyDescent="0.3">
      <c r="R125" s="652"/>
    </row>
    <row r="126" spans="2:18" s="25" customFormat="1" x14ac:dyDescent="0.3">
      <c r="R126" s="652"/>
    </row>
    <row r="127" spans="2:18" s="25" customFormat="1" x14ac:dyDescent="0.3">
      <c r="R127" s="652"/>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x14ac:dyDescent="0.3"/>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35.77734375" customWidth="1"/>
    <col min="35" max="35" width="76.21875" customWidth="1"/>
    <col min="36" max="36" width="23.5546875" style="469" customWidth="1"/>
    <col min="37" max="37" width="4.44140625" style="469" hidden="1" customWidth="1"/>
    <col min="38" max="38" width="5.21875" style="469" hidden="1" customWidth="1"/>
    <col min="39" max="39" width="6.77734375" style="469" hidden="1" customWidth="1"/>
    <col min="40" max="40" width="12.21875" style="469"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16384" width="8.77734375" hidden="1"/>
  </cols>
  <sheetData>
    <row r="1" spans="1:44" s="25" customFormat="1" ht="15.75" customHeight="1" thickBot="1" x14ac:dyDescent="0.35">
      <c r="I1" s="52"/>
      <c r="J1" s="52"/>
      <c r="K1" s="52"/>
      <c r="L1" s="52"/>
      <c r="M1" s="52"/>
      <c r="N1" s="52"/>
      <c r="O1" s="154" t="s">
        <v>54</v>
      </c>
      <c r="P1" s="277">
        <f>IFERROR(SUM(AE11:AE30), "Error ▲")</f>
        <v>0</v>
      </c>
      <c r="R1" s="652" t="s">
        <v>55</v>
      </c>
      <c r="T1" s="26"/>
      <c r="AJ1" s="157"/>
      <c r="AK1" s="157"/>
      <c r="AL1" s="157"/>
      <c r="AM1" s="157"/>
      <c r="AN1" s="157"/>
    </row>
    <row r="2" spans="1:44" s="25" customFormat="1" ht="19.95" customHeight="1" x14ac:dyDescent="0.35">
      <c r="B2" s="80" t="s">
        <v>56</v>
      </c>
      <c r="C2" s="826" t="str">
        <f>IF('2. Site Details'!D4="","Enter site name on 2. Site Details",'2. Site Details'!D4)</f>
        <v>Enter site name on 2. Site Details</v>
      </c>
      <c r="D2" s="827"/>
      <c r="F2" s="771" t="s">
        <v>247</v>
      </c>
      <c r="G2" s="772"/>
      <c r="H2" s="773"/>
      <c r="I2" s="81"/>
      <c r="J2" s="785" t="str" cm="1">
        <f t="array" aca="1" ref="J2" ca="1">IFERROR(IF(OR((ISNUMBER(SEARCH("▲",A7:Q101)))),"Input Errors Present On Sheet - Red Cells Or ▲ Highlight Errors","All Key Rules Satisfied ✓ "),"Technical Errors On Sheet ▲")</f>
        <v xml:space="preserve">All Key Rules Satisfied ✓ </v>
      </c>
      <c r="K2" s="785"/>
      <c r="L2" s="785"/>
      <c r="M2" s="785"/>
      <c r="N2" s="81"/>
      <c r="O2" s="83" t="s">
        <v>58</v>
      </c>
      <c r="P2" s="277">
        <f>IFERROR(N31, "Error ▲")</f>
        <v>0</v>
      </c>
      <c r="R2" s="652"/>
      <c r="T2" s="26"/>
      <c r="AJ2" s="157"/>
      <c r="AK2" s="157"/>
      <c r="AL2" s="157"/>
      <c r="AM2" s="157"/>
      <c r="AN2" s="157"/>
    </row>
    <row r="3" spans="1:44" s="25" customFormat="1" ht="19.95" customHeight="1" thickBot="1" x14ac:dyDescent="0.4">
      <c r="B3" s="82" t="s">
        <v>13</v>
      </c>
      <c r="C3" s="828" t="s">
        <v>248</v>
      </c>
      <c r="D3" s="829"/>
      <c r="F3" s="774"/>
      <c r="G3" s="775"/>
      <c r="H3" s="776"/>
      <c r="I3" s="81"/>
      <c r="J3" s="785"/>
      <c r="K3" s="785"/>
      <c r="L3" s="785"/>
      <c r="M3" s="785"/>
      <c r="N3" s="81"/>
      <c r="O3" s="83" t="s">
        <v>60</v>
      </c>
      <c r="P3" s="277">
        <f>IFERROR(L59, "Error ▲")</f>
        <v>0</v>
      </c>
      <c r="R3" s="652"/>
      <c r="T3" s="26"/>
      <c r="AJ3" s="157"/>
      <c r="AK3" s="157"/>
      <c r="AL3" s="157"/>
      <c r="AM3" s="157"/>
      <c r="AN3" s="157"/>
    </row>
    <row r="4" spans="1:44" s="25" customFormat="1" ht="19.95" customHeight="1" x14ac:dyDescent="0.3">
      <c r="B4" s="84"/>
      <c r="C4" s="84"/>
      <c r="D4" s="84"/>
      <c r="F4" s="774"/>
      <c r="G4" s="775"/>
      <c r="H4" s="776"/>
      <c r="I4" s="81"/>
      <c r="J4" s="785"/>
      <c r="K4" s="785"/>
      <c r="L4" s="785"/>
      <c r="M4" s="785"/>
      <c r="N4" s="81"/>
      <c r="O4" s="83" t="s">
        <v>61</v>
      </c>
      <c r="P4" s="277">
        <f>IFERROR(L86, "Error ▲")</f>
        <v>0</v>
      </c>
      <c r="R4" s="652"/>
      <c r="T4" s="26"/>
      <c r="AJ4" s="157"/>
      <c r="AK4" s="157"/>
      <c r="AL4" s="157"/>
      <c r="AM4" s="157"/>
      <c r="AN4" s="157"/>
    </row>
    <row r="5" spans="1:44" s="25" customFormat="1" ht="19.95" customHeight="1" thickBot="1" x14ac:dyDescent="0.35">
      <c r="A5" s="85"/>
      <c r="F5" s="774"/>
      <c r="G5" s="775"/>
      <c r="H5" s="776"/>
      <c r="I5" s="81"/>
      <c r="J5" s="785"/>
      <c r="K5" s="785"/>
      <c r="L5" s="785"/>
      <c r="M5" s="785"/>
      <c r="N5" s="81"/>
      <c r="O5" s="86" t="s">
        <v>62</v>
      </c>
      <c r="P5" s="278">
        <f>IFERROR(P1+L59+L86-L31, "Error ▲")</f>
        <v>0</v>
      </c>
      <c r="R5" s="652"/>
      <c r="T5" s="26"/>
      <c r="AJ5" s="157"/>
      <c r="AK5" s="157"/>
      <c r="AL5" s="157"/>
      <c r="AM5" s="157"/>
      <c r="AN5" s="157"/>
    </row>
    <row r="6" spans="1:44" s="25" customFormat="1" ht="13.2" customHeight="1" thickBot="1" x14ac:dyDescent="0.35">
      <c r="A6" s="85"/>
      <c r="F6" s="777"/>
      <c r="G6" s="778"/>
      <c r="H6" s="779"/>
      <c r="I6" s="52"/>
      <c r="J6" s="52"/>
      <c r="K6" s="26"/>
      <c r="L6" s="52"/>
      <c r="M6" s="52"/>
      <c r="N6" s="52"/>
      <c r="O6" s="87"/>
      <c r="P6" s="26"/>
      <c r="R6" s="652"/>
      <c r="T6" s="26"/>
      <c r="AJ6" s="157"/>
      <c r="AK6" s="157"/>
      <c r="AL6" s="157"/>
      <c r="AM6" s="157"/>
      <c r="AN6" s="157"/>
      <c r="AR6" s="157"/>
    </row>
    <row r="7" spans="1:44" s="25" customFormat="1" ht="19.2" customHeight="1" x14ac:dyDescent="0.45">
      <c r="B7" s="57" t="s">
        <v>63</v>
      </c>
      <c r="D7" s="88"/>
      <c r="H7" s="26"/>
      <c r="K7" s="26"/>
      <c r="L7" s="496"/>
      <c r="M7" s="30"/>
      <c r="N7" s="30"/>
      <c r="R7" s="652"/>
      <c r="T7" s="26"/>
      <c r="AJ7" s="157"/>
      <c r="AK7" s="157"/>
      <c r="AL7" s="157"/>
      <c r="AM7" s="157"/>
      <c r="AN7" s="157"/>
      <c r="AR7" s="157"/>
    </row>
    <row r="8" spans="1:44" s="25" customFormat="1" ht="10.95" customHeight="1" thickBot="1" x14ac:dyDescent="0.35">
      <c r="A8" s="89"/>
      <c r="R8" s="652"/>
      <c r="AJ8" s="157"/>
      <c r="AK8" s="157"/>
      <c r="AL8" s="157"/>
      <c r="AM8" s="157"/>
      <c r="AN8" s="157"/>
      <c r="AR8" s="157"/>
    </row>
    <row r="9" spans="1:44" s="25" customFormat="1" ht="29.55" customHeight="1" thickBot="1" x14ac:dyDescent="0.35">
      <c r="A9" s="89"/>
      <c r="B9" s="734" t="s">
        <v>49</v>
      </c>
      <c r="C9" s="723" t="s">
        <v>64</v>
      </c>
      <c r="D9" s="724"/>
      <c r="E9" s="725"/>
      <c r="F9" s="755" t="s">
        <v>65</v>
      </c>
      <c r="G9" s="756"/>
      <c r="H9" s="757"/>
      <c r="I9" s="723" t="s">
        <v>249</v>
      </c>
      <c r="J9" s="724"/>
      <c r="K9" s="725"/>
      <c r="L9" s="752" t="s">
        <v>67</v>
      </c>
      <c r="M9" s="753"/>
      <c r="N9" s="754"/>
      <c r="O9" s="752" t="s">
        <v>68</v>
      </c>
      <c r="P9" s="754"/>
      <c r="R9" s="652"/>
      <c r="T9" s="680" t="s">
        <v>69</v>
      </c>
      <c r="U9" s="681"/>
      <c r="V9" s="682"/>
      <c r="W9" s="932" t="s">
        <v>70</v>
      </c>
      <c r="X9" s="934"/>
      <c r="Y9" s="762"/>
      <c r="Z9" s="762"/>
      <c r="AA9" s="762"/>
      <c r="AB9" s="932" t="s">
        <v>71</v>
      </c>
      <c r="AC9" s="933"/>
      <c r="AD9" s="934"/>
      <c r="AE9" s="680" t="s">
        <v>72</v>
      </c>
      <c r="AF9" s="681"/>
      <c r="AG9" s="682"/>
      <c r="AH9" s="680" t="s">
        <v>73</v>
      </c>
      <c r="AI9" s="913" t="s">
        <v>74</v>
      </c>
      <c r="AJ9" s="971" t="s">
        <v>250</v>
      </c>
      <c r="AK9" s="157"/>
      <c r="AL9" s="157"/>
      <c r="AM9" s="157"/>
      <c r="AN9" s="431"/>
      <c r="AR9" s="157"/>
    </row>
    <row r="10" spans="1:44" s="25" customFormat="1" ht="31.8" thickBot="1" x14ac:dyDescent="0.35">
      <c r="A10" s="89"/>
      <c r="B10" s="735"/>
      <c r="C10" s="86" t="s">
        <v>75</v>
      </c>
      <c r="D10" s="891" t="s">
        <v>76</v>
      </c>
      <c r="E10" s="892"/>
      <c r="F10" s="978"/>
      <c r="G10" s="979"/>
      <c r="H10" s="980"/>
      <c r="I10" s="86" t="s">
        <v>221</v>
      </c>
      <c r="J10" s="197" t="s">
        <v>222</v>
      </c>
      <c r="K10" s="90" t="s">
        <v>223</v>
      </c>
      <c r="L10" s="86" t="s">
        <v>224</v>
      </c>
      <c r="M10" s="197" t="s">
        <v>225</v>
      </c>
      <c r="N10" s="90" t="s">
        <v>82</v>
      </c>
      <c r="O10" s="86" t="s">
        <v>83</v>
      </c>
      <c r="P10" s="90" t="s">
        <v>84</v>
      </c>
      <c r="R10" s="652"/>
      <c r="T10" s="678" t="s">
        <v>85</v>
      </c>
      <c r="U10" s="679"/>
      <c r="V10" s="92" t="s">
        <v>86</v>
      </c>
      <c r="W10" s="373" t="s">
        <v>87</v>
      </c>
      <c r="X10" s="369" t="s">
        <v>86</v>
      </c>
      <c r="Y10" s="371"/>
      <c r="Z10" s="365"/>
      <c r="AA10" s="365"/>
      <c r="AB10" s="354" t="s">
        <v>71</v>
      </c>
      <c r="AC10" s="354" t="s">
        <v>71</v>
      </c>
      <c r="AD10" s="369" t="s">
        <v>88</v>
      </c>
      <c r="AE10" s="91" t="s">
        <v>89</v>
      </c>
      <c r="AF10" s="49" t="s">
        <v>90</v>
      </c>
      <c r="AG10" s="92" t="s">
        <v>91</v>
      </c>
      <c r="AH10" s="678"/>
      <c r="AI10" s="970"/>
      <c r="AJ10" s="971"/>
      <c r="AK10" s="157"/>
      <c r="AL10" s="157"/>
      <c r="AM10" s="157"/>
      <c r="AO10" s="431"/>
      <c r="AR10" s="157" t="s">
        <v>251</v>
      </c>
    </row>
    <row r="11" spans="1:44" s="25" customFormat="1" ht="15.6" x14ac:dyDescent="0.3">
      <c r="A11" s="89"/>
      <c r="B11" s="270">
        <v>1</v>
      </c>
      <c r="C11" s="555" t="s">
        <v>252</v>
      </c>
      <c r="D11" s="670"/>
      <c r="E11" s="670"/>
      <c r="F11" s="950"/>
      <c r="G11" s="950"/>
      <c r="H11" s="950"/>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2"/>
      <c r="T11" s="661" t="str">
        <f>IF(D11="","",VLOOKUP(D11,'9. All Habitats + Multipliers'!$C$4:$K$102,5,FALSE))</f>
        <v/>
      </c>
      <c r="U11" s="662"/>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x14ac:dyDescent="0.3">
      <c r="B12" s="264">
        <v>2</v>
      </c>
      <c r="C12" s="556" t="s">
        <v>252</v>
      </c>
      <c r="D12" s="670"/>
      <c r="E12" s="670"/>
      <c r="F12" s="950"/>
      <c r="G12" s="950"/>
      <c r="H12" s="950"/>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2"/>
      <c r="T12" s="661" t="str">
        <f>IF(D12="","",VLOOKUP(D12,'9. All Habitats + Multipliers'!$C$4:$K$102,5,FALSE))</f>
        <v/>
      </c>
      <c r="U12" s="662"/>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x14ac:dyDescent="0.3">
      <c r="B13" s="264">
        <v>3</v>
      </c>
      <c r="C13" s="556" t="s">
        <v>252</v>
      </c>
      <c r="D13" s="670"/>
      <c r="E13" s="670"/>
      <c r="F13" s="950"/>
      <c r="G13" s="950"/>
      <c r="H13" s="950"/>
      <c r="I13" s="471"/>
      <c r="J13" s="306"/>
      <c r="K13" s="307"/>
      <c r="L13" s="466" t="str">
        <f t="shared" si="0"/>
        <v/>
      </c>
      <c r="M13" s="301" t="str">
        <f t="shared" ref="M13:M29" si="6">IF(I13="","",IF(J13+K13&gt;I13,"Length Error ▲",I13-J13-K13))</f>
        <v/>
      </c>
      <c r="N13" s="466" t="str">
        <f t="shared" si="1"/>
        <v/>
      </c>
      <c r="O13" s="68"/>
      <c r="P13" s="3"/>
      <c r="R13" s="652"/>
      <c r="T13" s="661" t="str">
        <f>IF(D13="","",VLOOKUP(D13,'9. All Habitats + Multipliers'!$C$4:$K$102,5,FALSE))</f>
        <v/>
      </c>
      <c r="U13" s="662"/>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x14ac:dyDescent="0.3">
      <c r="B14" s="264">
        <v>4</v>
      </c>
      <c r="C14" s="556" t="s">
        <v>252</v>
      </c>
      <c r="D14" s="670"/>
      <c r="E14" s="670"/>
      <c r="F14" s="950"/>
      <c r="G14" s="950"/>
      <c r="H14" s="950"/>
      <c r="I14" s="471"/>
      <c r="J14" s="306"/>
      <c r="K14" s="307"/>
      <c r="L14" s="466" t="str">
        <f t="shared" si="0"/>
        <v/>
      </c>
      <c r="M14" s="301" t="str">
        <f t="shared" si="6"/>
        <v/>
      </c>
      <c r="N14" s="466" t="str">
        <f t="shared" si="1"/>
        <v/>
      </c>
      <c r="O14" s="68"/>
      <c r="P14" s="3"/>
      <c r="R14" s="652"/>
      <c r="T14" s="661" t="str">
        <f>IF(D14="","",VLOOKUP(D14,'9. All Habitats + Multipliers'!$C$4:$K$102,5,FALSE))</f>
        <v/>
      </c>
      <c r="U14" s="662"/>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x14ac:dyDescent="0.3">
      <c r="B15" s="264">
        <v>5</v>
      </c>
      <c r="C15" s="556" t="s">
        <v>252</v>
      </c>
      <c r="D15" s="670"/>
      <c r="E15" s="670"/>
      <c r="F15" s="950"/>
      <c r="G15" s="950"/>
      <c r="H15" s="950"/>
      <c r="I15" s="471"/>
      <c r="J15" s="306"/>
      <c r="K15" s="307"/>
      <c r="L15" s="466" t="str">
        <f t="shared" si="0"/>
        <v/>
      </c>
      <c r="M15" s="301" t="str">
        <f t="shared" si="6"/>
        <v/>
      </c>
      <c r="N15" s="466" t="str">
        <f t="shared" si="1"/>
        <v/>
      </c>
      <c r="O15" s="68"/>
      <c r="P15" s="3"/>
      <c r="R15" s="652"/>
      <c r="T15" s="661" t="str">
        <f>IF(D15="","",VLOOKUP(D15,'9. All Habitats + Multipliers'!$C$4:$K$102,5,FALSE))</f>
        <v/>
      </c>
      <c r="U15" s="662"/>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x14ac:dyDescent="0.3">
      <c r="B16" s="264">
        <v>6</v>
      </c>
      <c r="C16" s="556" t="s">
        <v>252</v>
      </c>
      <c r="D16" s="670"/>
      <c r="E16" s="670"/>
      <c r="F16" s="950"/>
      <c r="G16" s="950"/>
      <c r="H16" s="950"/>
      <c r="I16" s="471"/>
      <c r="J16" s="306"/>
      <c r="K16" s="307"/>
      <c r="L16" s="466" t="str">
        <f t="shared" si="0"/>
        <v/>
      </c>
      <c r="M16" s="301" t="str">
        <f t="shared" si="6"/>
        <v/>
      </c>
      <c r="N16" s="466" t="str">
        <f t="shared" si="1"/>
        <v/>
      </c>
      <c r="O16" s="68"/>
      <c r="P16" s="3"/>
      <c r="R16" s="652"/>
      <c r="T16" s="661" t="str">
        <f>IF(D16="","",VLOOKUP(D16,'9. All Habitats + Multipliers'!$C$4:$K$102,5,FALSE))</f>
        <v/>
      </c>
      <c r="U16" s="662"/>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x14ac:dyDescent="0.3">
      <c r="B17" s="264">
        <v>7</v>
      </c>
      <c r="C17" s="556" t="s">
        <v>252</v>
      </c>
      <c r="D17" s="670"/>
      <c r="E17" s="670"/>
      <c r="F17" s="950"/>
      <c r="G17" s="950"/>
      <c r="H17" s="950"/>
      <c r="I17" s="471"/>
      <c r="J17" s="306"/>
      <c r="K17" s="307"/>
      <c r="L17" s="466" t="str">
        <f t="shared" si="0"/>
        <v/>
      </c>
      <c r="M17" s="301" t="str">
        <f t="shared" si="6"/>
        <v/>
      </c>
      <c r="N17" s="466" t="str">
        <f t="shared" si="1"/>
        <v/>
      </c>
      <c r="O17" s="68"/>
      <c r="P17" s="3"/>
      <c r="R17" s="652"/>
      <c r="T17" s="661" t="str">
        <f>IF(D17="","",VLOOKUP(D17,'9. All Habitats + Multipliers'!$C$4:$K$102,5,FALSE))</f>
        <v/>
      </c>
      <c r="U17" s="662"/>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x14ac:dyDescent="0.3">
      <c r="B18" s="264">
        <v>8</v>
      </c>
      <c r="C18" s="556" t="s">
        <v>252</v>
      </c>
      <c r="D18" s="670"/>
      <c r="E18" s="670"/>
      <c r="F18" s="950"/>
      <c r="G18" s="950"/>
      <c r="H18" s="950"/>
      <c r="I18" s="471"/>
      <c r="J18" s="306"/>
      <c r="K18" s="307"/>
      <c r="L18" s="466" t="str">
        <f t="shared" si="0"/>
        <v/>
      </c>
      <c r="M18" s="301" t="str">
        <f t="shared" si="6"/>
        <v/>
      </c>
      <c r="N18" s="466" t="str">
        <f t="shared" si="1"/>
        <v/>
      </c>
      <c r="O18" s="68"/>
      <c r="P18" s="3"/>
      <c r="R18" s="652"/>
      <c r="T18" s="661" t="str">
        <f>IF(D18="","",VLOOKUP(D18,'9. All Habitats + Multipliers'!$C$4:$K$102,5,FALSE))</f>
        <v/>
      </c>
      <c r="U18" s="662"/>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x14ac:dyDescent="0.3">
      <c r="B19" s="264">
        <v>9</v>
      </c>
      <c r="C19" s="556" t="s">
        <v>252</v>
      </c>
      <c r="D19" s="670"/>
      <c r="E19" s="670"/>
      <c r="F19" s="950"/>
      <c r="G19" s="950"/>
      <c r="H19" s="950"/>
      <c r="I19" s="471"/>
      <c r="J19" s="306"/>
      <c r="K19" s="307"/>
      <c r="L19" s="466" t="str">
        <f t="shared" si="0"/>
        <v/>
      </c>
      <c r="M19" s="301" t="str">
        <f t="shared" si="6"/>
        <v/>
      </c>
      <c r="N19" s="466" t="str">
        <f t="shared" si="1"/>
        <v/>
      </c>
      <c r="O19" s="68"/>
      <c r="P19" s="3"/>
      <c r="R19" s="652"/>
      <c r="T19" s="661" t="str">
        <f>IF(D19="","",VLOOKUP(D19,'9. All Habitats + Multipliers'!$C$4:$K$102,5,FALSE))</f>
        <v/>
      </c>
      <c r="U19" s="662"/>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x14ac:dyDescent="0.3">
      <c r="B20" s="264">
        <v>10</v>
      </c>
      <c r="C20" s="556" t="s">
        <v>252</v>
      </c>
      <c r="D20" s="670"/>
      <c r="E20" s="670"/>
      <c r="F20" s="950"/>
      <c r="G20" s="950"/>
      <c r="H20" s="950"/>
      <c r="I20" s="471"/>
      <c r="J20" s="306"/>
      <c r="K20" s="307"/>
      <c r="L20" s="466" t="str">
        <f t="shared" si="0"/>
        <v/>
      </c>
      <c r="M20" s="301" t="str">
        <f t="shared" si="6"/>
        <v/>
      </c>
      <c r="N20" s="466" t="str">
        <f t="shared" si="1"/>
        <v/>
      </c>
      <c r="O20" s="68"/>
      <c r="P20" s="8"/>
      <c r="R20" s="652"/>
      <c r="T20" s="661" t="str">
        <f>IF(D20="","",VLOOKUP(D20,'9. All Habitats + Multipliers'!$C$4:$K$102,5,FALSE))</f>
        <v/>
      </c>
      <c r="U20" s="662"/>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x14ac:dyDescent="0.3">
      <c r="B21" s="264">
        <v>11</v>
      </c>
      <c r="C21" s="556" t="s">
        <v>252</v>
      </c>
      <c r="D21" s="670"/>
      <c r="E21" s="670"/>
      <c r="F21" s="950"/>
      <c r="G21" s="950"/>
      <c r="H21" s="950"/>
      <c r="I21" s="471"/>
      <c r="J21" s="306"/>
      <c r="K21" s="307"/>
      <c r="L21" s="466" t="str">
        <f t="shared" si="0"/>
        <v/>
      </c>
      <c r="M21" s="301" t="str">
        <f t="shared" si="6"/>
        <v/>
      </c>
      <c r="N21" s="466" t="str">
        <f t="shared" si="1"/>
        <v/>
      </c>
      <c r="O21" s="68"/>
      <c r="P21" s="8"/>
      <c r="R21" s="652"/>
      <c r="T21" s="661" t="str">
        <f>IF(D21="","",VLOOKUP(D21,'9. All Habitats + Multipliers'!$C$4:$K$102,5,FALSE))</f>
        <v/>
      </c>
      <c r="U21" s="662"/>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x14ac:dyDescent="0.3">
      <c r="B22" s="264">
        <v>12</v>
      </c>
      <c r="C22" s="556" t="s">
        <v>252</v>
      </c>
      <c r="D22" s="670"/>
      <c r="E22" s="670"/>
      <c r="F22" s="950"/>
      <c r="G22" s="950"/>
      <c r="H22" s="950"/>
      <c r="I22" s="471"/>
      <c r="J22" s="306"/>
      <c r="K22" s="307"/>
      <c r="L22" s="466" t="str">
        <f t="shared" si="0"/>
        <v/>
      </c>
      <c r="M22" s="301" t="str">
        <f t="shared" si="6"/>
        <v/>
      </c>
      <c r="N22" s="466" t="str">
        <f t="shared" si="1"/>
        <v/>
      </c>
      <c r="O22" s="68"/>
      <c r="P22" s="8"/>
      <c r="R22" s="652"/>
      <c r="T22" s="661" t="str">
        <f>IF(D22="","",VLOOKUP(D22,'9. All Habitats + Multipliers'!$C$4:$K$102,5,FALSE))</f>
        <v/>
      </c>
      <c r="U22" s="662"/>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x14ac:dyDescent="0.3">
      <c r="B23" s="264">
        <v>13</v>
      </c>
      <c r="C23" s="556" t="s">
        <v>252</v>
      </c>
      <c r="D23" s="670"/>
      <c r="E23" s="670"/>
      <c r="F23" s="950"/>
      <c r="G23" s="950"/>
      <c r="H23" s="950"/>
      <c r="I23" s="471"/>
      <c r="J23" s="306"/>
      <c r="K23" s="307"/>
      <c r="L23" s="466" t="str">
        <f t="shared" si="0"/>
        <v/>
      </c>
      <c r="M23" s="301" t="str">
        <f t="shared" si="6"/>
        <v/>
      </c>
      <c r="N23" s="466" t="str">
        <f t="shared" si="1"/>
        <v/>
      </c>
      <c r="O23" s="68"/>
      <c r="P23" s="8"/>
      <c r="R23" s="652"/>
      <c r="T23" s="661" t="str">
        <f>IF(D23="","",VLOOKUP(D23,'9. All Habitats + Multipliers'!$C$4:$K$102,5,FALSE))</f>
        <v/>
      </c>
      <c r="U23" s="662"/>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x14ac:dyDescent="0.3">
      <c r="B24" s="264">
        <v>14</v>
      </c>
      <c r="C24" s="556" t="s">
        <v>252</v>
      </c>
      <c r="D24" s="670"/>
      <c r="E24" s="670"/>
      <c r="F24" s="950"/>
      <c r="G24" s="950"/>
      <c r="H24" s="950"/>
      <c r="I24" s="471"/>
      <c r="J24" s="306"/>
      <c r="K24" s="307"/>
      <c r="L24" s="466" t="str">
        <f t="shared" si="0"/>
        <v/>
      </c>
      <c r="M24" s="301" t="str">
        <f t="shared" si="6"/>
        <v/>
      </c>
      <c r="N24" s="466" t="str">
        <f t="shared" si="1"/>
        <v/>
      </c>
      <c r="O24" s="68"/>
      <c r="P24" s="8"/>
      <c r="R24" s="652"/>
      <c r="T24" s="661" t="str">
        <f>IF(D24="","",VLOOKUP(D24,'9. All Habitats + Multipliers'!$C$4:$K$102,5,FALSE))</f>
        <v/>
      </c>
      <c r="U24" s="662"/>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x14ac:dyDescent="0.3">
      <c r="B25" s="264">
        <v>15</v>
      </c>
      <c r="C25" s="556" t="s">
        <v>252</v>
      </c>
      <c r="D25" s="670"/>
      <c r="E25" s="670"/>
      <c r="F25" s="950"/>
      <c r="G25" s="950"/>
      <c r="H25" s="950"/>
      <c r="I25" s="471"/>
      <c r="J25" s="306"/>
      <c r="K25" s="307"/>
      <c r="L25" s="466" t="str">
        <f t="shared" si="0"/>
        <v/>
      </c>
      <c r="M25" s="301" t="str">
        <f t="shared" si="6"/>
        <v/>
      </c>
      <c r="N25" s="466" t="str">
        <f t="shared" si="1"/>
        <v/>
      </c>
      <c r="O25" s="68"/>
      <c r="P25" s="8"/>
      <c r="R25" s="652"/>
      <c r="T25" s="661" t="str">
        <f>IF(D25="","",VLOOKUP(D25,'9. All Habitats + Multipliers'!$C$4:$K$102,5,FALSE))</f>
        <v/>
      </c>
      <c r="U25" s="662"/>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x14ac:dyDescent="0.3">
      <c r="B26" s="264">
        <v>16</v>
      </c>
      <c r="C26" s="556" t="s">
        <v>252</v>
      </c>
      <c r="D26" s="670"/>
      <c r="E26" s="670"/>
      <c r="F26" s="950"/>
      <c r="G26" s="950"/>
      <c r="H26" s="950"/>
      <c r="I26" s="471"/>
      <c r="J26" s="306"/>
      <c r="K26" s="307"/>
      <c r="L26" s="466" t="str">
        <f t="shared" si="0"/>
        <v/>
      </c>
      <c r="M26" s="301" t="str">
        <f t="shared" si="6"/>
        <v/>
      </c>
      <c r="N26" s="466" t="str">
        <f t="shared" si="1"/>
        <v/>
      </c>
      <c r="O26" s="68"/>
      <c r="P26" s="8"/>
      <c r="R26" s="652"/>
      <c r="T26" s="661" t="str">
        <f>IF(D26="","",VLOOKUP(D26,'9. All Habitats + Multipliers'!$C$4:$K$102,5,FALSE))</f>
        <v/>
      </c>
      <c r="U26" s="662"/>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x14ac:dyDescent="0.3">
      <c r="B27" s="264">
        <v>17</v>
      </c>
      <c r="C27" s="556" t="s">
        <v>252</v>
      </c>
      <c r="D27" s="670"/>
      <c r="E27" s="670"/>
      <c r="F27" s="950"/>
      <c r="G27" s="950"/>
      <c r="H27" s="950"/>
      <c r="I27" s="471"/>
      <c r="J27" s="306"/>
      <c r="K27" s="307"/>
      <c r="L27" s="466" t="str">
        <f t="shared" si="0"/>
        <v/>
      </c>
      <c r="M27" s="301" t="str">
        <f t="shared" si="6"/>
        <v/>
      </c>
      <c r="N27" s="466" t="str">
        <f t="shared" si="1"/>
        <v/>
      </c>
      <c r="O27" s="68"/>
      <c r="P27" s="8"/>
      <c r="R27" s="652"/>
      <c r="T27" s="661" t="str">
        <f>IF(D27="","",VLOOKUP(D27,'9. All Habitats + Multipliers'!$C$4:$K$102,5,FALSE))</f>
        <v/>
      </c>
      <c r="U27" s="662"/>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x14ac:dyDescent="0.3">
      <c r="B28" s="264">
        <v>18</v>
      </c>
      <c r="C28" s="556" t="s">
        <v>252</v>
      </c>
      <c r="D28" s="670"/>
      <c r="E28" s="670"/>
      <c r="F28" s="950"/>
      <c r="G28" s="950"/>
      <c r="H28" s="950"/>
      <c r="I28" s="471"/>
      <c r="J28" s="306"/>
      <c r="K28" s="307"/>
      <c r="L28" s="466" t="str">
        <f t="shared" si="0"/>
        <v/>
      </c>
      <c r="M28" s="301" t="str">
        <f t="shared" si="6"/>
        <v/>
      </c>
      <c r="N28" s="466" t="str">
        <f t="shared" si="1"/>
        <v/>
      </c>
      <c r="O28" s="68"/>
      <c r="P28" s="8"/>
      <c r="R28" s="652"/>
      <c r="T28" s="661" t="str">
        <f>IF(D28="","",VLOOKUP(D28,'9. All Habitats + Multipliers'!$C$4:$K$102,5,FALSE))</f>
        <v/>
      </c>
      <c r="U28" s="662"/>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x14ac:dyDescent="0.3">
      <c r="B29" s="264">
        <v>19</v>
      </c>
      <c r="C29" s="556" t="s">
        <v>252</v>
      </c>
      <c r="D29" s="670"/>
      <c r="E29" s="670"/>
      <c r="F29" s="950"/>
      <c r="G29" s="950"/>
      <c r="H29" s="950"/>
      <c r="I29" s="471"/>
      <c r="J29" s="306"/>
      <c r="K29" s="307"/>
      <c r="L29" s="466" t="str">
        <f t="shared" si="0"/>
        <v/>
      </c>
      <c r="M29" s="301" t="str">
        <f t="shared" si="6"/>
        <v/>
      </c>
      <c r="N29" s="466" t="str">
        <f t="shared" si="1"/>
        <v/>
      </c>
      <c r="O29" s="68"/>
      <c r="P29" s="8"/>
      <c r="R29" s="652"/>
      <c r="T29" s="661" t="str">
        <f>IF(D29="","",VLOOKUP(D29,'9. All Habitats + Multipliers'!$C$4:$K$102,5,FALSE))</f>
        <v/>
      </c>
      <c r="U29" s="662"/>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35">
      <c r="B30" s="265">
        <v>20</v>
      </c>
      <c r="C30" s="557" t="s">
        <v>252</v>
      </c>
      <c r="D30" s="674"/>
      <c r="E30" s="674"/>
      <c r="F30" s="969"/>
      <c r="G30" s="969"/>
      <c r="H30" s="969"/>
      <c r="I30" s="472"/>
      <c r="J30" s="309"/>
      <c r="K30" s="310"/>
      <c r="L30" s="474" t="str">
        <f t="shared" si="0"/>
        <v/>
      </c>
      <c r="M30" s="315" t="str">
        <f>IF(I30="","",IF(J30+K30&gt;I30,"Length Error ▲",I30-J30-K30))</f>
        <v/>
      </c>
      <c r="N30" s="474" t="str">
        <f t="shared" si="1"/>
        <v/>
      </c>
      <c r="O30" s="70"/>
      <c r="P30" s="4"/>
      <c r="R30" s="652"/>
      <c r="T30" s="663" t="str">
        <f>IF(D30="","",VLOOKUP(D30,'9. All Habitats + Multipliers'!$C$4:$K$102,5,FALSE))</f>
        <v/>
      </c>
      <c r="U30" s="664"/>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3">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652"/>
      <c r="AJ31" s="157"/>
      <c r="AK31" s="157"/>
      <c r="AL31" s="157"/>
      <c r="AM31" s="157"/>
      <c r="AN31" s="157"/>
      <c r="AR31" s="157"/>
    </row>
    <row r="32" spans="2:44" s="25" customFormat="1" x14ac:dyDescent="0.3">
      <c r="D32" s="89"/>
      <c r="E32" s="103"/>
      <c r="F32" s="103"/>
      <c r="G32" s="103"/>
      <c r="H32" s="289" t="s">
        <v>97</v>
      </c>
      <c r="I32" s="893" t="str">
        <f>IF(I31&lt;J31+K31,"Error - Lengths Retained and Enhanced Exceed Total Length ▲","Lengths Acceptable ✓")</f>
        <v>Lengths Acceptable ✓</v>
      </c>
      <c r="J32" s="893"/>
      <c r="K32" s="893"/>
      <c r="L32" s="893"/>
      <c r="M32" s="893"/>
      <c r="N32" s="894"/>
      <c r="O32" s="157">
        <f>IFERROR(FIND("Error",#REF!),0)</f>
        <v>0</v>
      </c>
      <c r="R32" s="104"/>
      <c r="AJ32" s="157"/>
      <c r="AK32" s="157"/>
      <c r="AL32" s="157"/>
      <c r="AM32" s="157"/>
      <c r="AN32" s="157"/>
      <c r="AR32" s="157"/>
    </row>
    <row r="33" spans="2:44" s="25" customFormat="1" ht="15" thickBot="1" x14ac:dyDescent="0.35">
      <c r="D33" s="89"/>
      <c r="E33" s="103"/>
      <c r="F33" s="103"/>
      <c r="G33" s="103"/>
      <c r="H33" s="272" t="s">
        <v>97</v>
      </c>
      <c r="I33" s="941" t="str">
        <f>IF(I31&lt;5000,"Lengths Acceptable ✓",IF(I31&gt;=5000,"Length Exceeds Length Appropriate for Small Sites Metric ▲"))</f>
        <v>Lengths Acceptable ✓</v>
      </c>
      <c r="J33" s="903"/>
      <c r="K33" s="903"/>
      <c r="L33" s="903"/>
      <c r="M33" s="903"/>
      <c r="N33" s="904"/>
      <c r="O33" s="157">
        <f>COUNTIF(L11:N30,"*"&amp;"error"&amp;"*")</f>
        <v>0</v>
      </c>
      <c r="R33" s="104"/>
      <c r="AJ33" s="157"/>
      <c r="AK33" s="157"/>
      <c r="AL33" s="157"/>
      <c r="AM33" s="157"/>
      <c r="AN33" s="157"/>
      <c r="AR33" s="157"/>
    </row>
    <row r="34" spans="2:44" s="25" customFormat="1" x14ac:dyDescent="0.3">
      <c r="D34" s="89"/>
      <c r="E34" s="103"/>
      <c r="F34" s="103"/>
      <c r="G34" s="103"/>
      <c r="H34" s="103"/>
      <c r="I34" s="103"/>
      <c r="J34" s="103"/>
      <c r="K34" s="103"/>
      <c r="L34" s="103"/>
      <c r="M34" s="103"/>
      <c r="N34" s="103"/>
      <c r="O34" s="26"/>
      <c r="R34" s="652" t="s">
        <v>55</v>
      </c>
      <c r="AJ34" s="157"/>
      <c r="AK34" s="157"/>
      <c r="AL34" s="157"/>
      <c r="AM34" s="157"/>
      <c r="AN34" s="157"/>
      <c r="AR34" s="157"/>
    </row>
    <row r="35" spans="2:44" s="25" customFormat="1" ht="21" x14ac:dyDescent="0.4">
      <c r="B35" s="57" t="s">
        <v>100</v>
      </c>
      <c r="D35" s="88"/>
      <c r="E35" s="103"/>
      <c r="F35" s="103"/>
      <c r="G35" s="103"/>
      <c r="I35" s="26"/>
      <c r="R35" s="652"/>
      <c r="AJ35" s="157"/>
      <c r="AK35" s="157"/>
      <c r="AL35" s="157"/>
      <c r="AM35" s="157"/>
      <c r="AN35" s="157"/>
      <c r="AR35" s="157"/>
    </row>
    <row r="36" spans="2:44" s="25" customFormat="1" ht="15.75" customHeight="1" thickBot="1" x14ac:dyDescent="0.35">
      <c r="R36" s="652"/>
      <c r="AJ36" s="157"/>
      <c r="AK36" s="157"/>
      <c r="AL36" s="157"/>
      <c r="AM36" s="157"/>
      <c r="AN36" s="157"/>
      <c r="AR36" s="157"/>
    </row>
    <row r="37" spans="2:44" s="25" customFormat="1" ht="16.2" customHeight="1" thickBot="1" x14ac:dyDescent="0.35">
      <c r="B37" s="734" t="s">
        <v>49</v>
      </c>
      <c r="C37" s="724"/>
      <c r="D37" s="737"/>
      <c r="E37" s="723" t="s">
        <v>101</v>
      </c>
      <c r="F37" s="783"/>
      <c r="G37" s="725"/>
      <c r="H37" s="783" t="s">
        <v>102</v>
      </c>
      <c r="I37" s="755" t="s">
        <v>228</v>
      </c>
      <c r="J37" s="756"/>
      <c r="K37" s="756"/>
      <c r="L37" s="723" t="s">
        <v>253</v>
      </c>
      <c r="M37" s="724"/>
      <c r="N37" s="725"/>
      <c r="O37" s="768" t="s">
        <v>68</v>
      </c>
      <c r="P37" s="725"/>
      <c r="R37" s="652"/>
      <c r="T37" s="935" t="s">
        <v>69</v>
      </c>
      <c r="U37" s="936"/>
      <c r="V37" s="937"/>
      <c r="W37" s="932" t="s">
        <v>70</v>
      </c>
      <c r="X37" s="934"/>
      <c r="Y37" s="762"/>
      <c r="Z37" s="762"/>
      <c r="AA37" s="762"/>
      <c r="AB37" s="932" t="s">
        <v>71</v>
      </c>
      <c r="AC37" s="933"/>
      <c r="AD37" s="934"/>
      <c r="AE37" s="928" t="s">
        <v>105</v>
      </c>
      <c r="AF37" s="929"/>
      <c r="AG37" s="928" t="s">
        <v>106</v>
      </c>
      <c r="AH37" s="929"/>
      <c r="AI37" s="972" t="s">
        <v>254</v>
      </c>
      <c r="AJ37" s="157"/>
      <c r="AK37" s="157"/>
      <c r="AL37" s="157"/>
      <c r="AM37" s="157"/>
      <c r="AN37" s="157"/>
      <c r="AR37" s="157"/>
    </row>
    <row r="38" spans="2:44" s="25" customFormat="1" ht="31.8" thickBot="1" x14ac:dyDescent="0.35">
      <c r="B38" s="735"/>
      <c r="C38" s="197" t="s">
        <v>75</v>
      </c>
      <c r="D38" s="198" t="s">
        <v>107</v>
      </c>
      <c r="E38" s="86" t="s">
        <v>108</v>
      </c>
      <c r="F38" s="721" t="s">
        <v>109</v>
      </c>
      <c r="G38" s="722"/>
      <c r="H38" s="784"/>
      <c r="I38" s="758"/>
      <c r="J38" s="759"/>
      <c r="K38" s="759"/>
      <c r="L38" s="890"/>
      <c r="M38" s="891"/>
      <c r="N38" s="892"/>
      <c r="O38" s="196" t="s">
        <v>83</v>
      </c>
      <c r="P38" s="90" t="s">
        <v>84</v>
      </c>
      <c r="R38" s="652"/>
      <c r="T38" s="928" t="s">
        <v>85</v>
      </c>
      <c r="U38" s="938"/>
      <c r="V38" s="526" t="s">
        <v>86</v>
      </c>
      <c r="W38" s="111" t="s">
        <v>87</v>
      </c>
      <c r="X38" s="112" t="s">
        <v>86</v>
      </c>
      <c r="Y38" s="371"/>
      <c r="Z38" s="365"/>
      <c r="AA38" s="527"/>
      <c r="AB38" s="111" t="s">
        <v>71</v>
      </c>
      <c r="AC38" s="500" t="s">
        <v>71</v>
      </c>
      <c r="AD38" s="112" t="s">
        <v>88</v>
      </c>
      <c r="AE38" s="111" t="s">
        <v>110</v>
      </c>
      <c r="AF38" s="112" t="s">
        <v>111</v>
      </c>
      <c r="AG38" s="111" t="s">
        <v>112</v>
      </c>
      <c r="AH38" s="112" t="s">
        <v>113</v>
      </c>
      <c r="AI38" s="973"/>
      <c r="AJ38" s="157"/>
      <c r="AK38" s="157"/>
      <c r="AL38" s="157"/>
      <c r="AM38" s="157"/>
      <c r="AN38" s="157"/>
      <c r="AR38" s="157"/>
    </row>
    <row r="39" spans="2:44" s="25" customFormat="1" ht="15.6" x14ac:dyDescent="0.3">
      <c r="B39" s="270">
        <v>1</v>
      </c>
      <c r="C39" s="555" t="s">
        <v>252</v>
      </c>
      <c r="D39" s="139"/>
      <c r="E39" s="140" t="str">
        <f>IF(D39="","",VLOOKUP(D39,'10. Condition and Temporal'!$B$6:$D$103,3,FALSE))</f>
        <v/>
      </c>
      <c r="F39" s="824"/>
      <c r="G39" s="825"/>
      <c r="H39" s="141"/>
      <c r="I39" s="967"/>
      <c r="J39" s="968"/>
      <c r="K39" s="968"/>
      <c r="L39" s="947" t="str">
        <f>IF(D39="","",IFERROR(IF(I39="","",((I39/1000)*(V39*X39))*(AH39*AF39)*AD39*AI39),"This intervention is not permitted within the SSM ▲"))</f>
        <v/>
      </c>
      <c r="M39" s="948"/>
      <c r="N39" s="949"/>
      <c r="O39" s="217"/>
      <c r="P39" s="142"/>
      <c r="Q39" s="106"/>
      <c r="R39" s="652"/>
      <c r="T39" s="939" t="str">
        <f>IF(D39="","",VLOOKUP(D39,'9. All Habitats + Multipliers'!$C$4:$K$102,5,FALSE))</f>
        <v/>
      </c>
      <c r="U39" s="94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x14ac:dyDescent="0.3">
      <c r="B40" s="264">
        <v>2</v>
      </c>
      <c r="C40" s="556" t="s">
        <v>252</v>
      </c>
      <c r="D40" s="73"/>
      <c r="E40" s="105" t="str">
        <f>IF(D40="","",VLOOKUP(D40,'10. Condition and Temporal'!$B$6:$D$103,3,FALSE))</f>
        <v/>
      </c>
      <c r="F40" s="707"/>
      <c r="G40" s="708"/>
      <c r="H40" s="71"/>
      <c r="I40" s="716"/>
      <c r="J40" s="717"/>
      <c r="K40" s="717"/>
      <c r="L40" s="947" t="str">
        <f t="shared" ref="L40:L58" si="9">IF(D40="","",IFERROR(IF(I40="","",((I40/1000)*(V40*X40))*(AH40*AF40)*AD40*AI40),"This intervention is not permitted within the SSM ▲"))</f>
        <v/>
      </c>
      <c r="M40" s="948"/>
      <c r="N40" s="949"/>
      <c r="O40" s="74"/>
      <c r="P40" s="12"/>
      <c r="Q40" s="106"/>
      <c r="R40" s="652"/>
      <c r="T40" s="661" t="str">
        <f>IF(D40="","",VLOOKUP(D40,'9. All Habitats + Multipliers'!$C$4:$K$102,5,FALSE))</f>
        <v/>
      </c>
      <c r="U40" s="662"/>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x14ac:dyDescent="0.3">
      <c r="B41" s="264">
        <v>3</v>
      </c>
      <c r="C41" s="556" t="s">
        <v>252</v>
      </c>
      <c r="D41" s="73"/>
      <c r="E41" s="105" t="str">
        <f>IF(D41="","",VLOOKUP(D41,'10. Condition and Temporal'!$B$6:$D$103,3,FALSE))</f>
        <v/>
      </c>
      <c r="F41" s="707"/>
      <c r="G41" s="708"/>
      <c r="H41" s="71"/>
      <c r="I41" s="716"/>
      <c r="J41" s="717"/>
      <c r="K41" s="717"/>
      <c r="L41" s="947" t="str">
        <f t="shared" si="9"/>
        <v/>
      </c>
      <c r="M41" s="948"/>
      <c r="N41" s="949"/>
      <c r="O41" s="74"/>
      <c r="P41" s="12"/>
      <c r="Q41" s="106"/>
      <c r="R41" s="652"/>
      <c r="T41" s="661" t="str">
        <f>IF(D41="","",VLOOKUP(D41,'9. All Habitats + Multipliers'!$C$4:$K$102,5,FALSE))</f>
        <v/>
      </c>
      <c r="U41" s="662"/>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x14ac:dyDescent="0.3">
      <c r="B42" s="264">
        <v>4</v>
      </c>
      <c r="C42" s="556" t="s">
        <v>252</v>
      </c>
      <c r="D42" s="73"/>
      <c r="E42" s="105" t="str">
        <f>IF(D42="","",VLOOKUP(D42,'10. Condition and Temporal'!$B$6:$D$103,3,FALSE))</f>
        <v/>
      </c>
      <c r="F42" s="707"/>
      <c r="G42" s="708"/>
      <c r="H42" s="71"/>
      <c r="I42" s="716"/>
      <c r="J42" s="717"/>
      <c r="K42" s="717"/>
      <c r="L42" s="947" t="str">
        <f t="shared" si="9"/>
        <v/>
      </c>
      <c r="M42" s="948"/>
      <c r="N42" s="949"/>
      <c r="O42" s="74"/>
      <c r="P42" s="12"/>
      <c r="Q42" s="106"/>
      <c r="R42" s="652"/>
      <c r="T42" s="661" t="str">
        <f>IF(D42="","",VLOOKUP(D42,'9. All Habitats + Multipliers'!$C$4:$K$102,5,FALSE))</f>
        <v/>
      </c>
      <c r="U42" s="662"/>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x14ac:dyDescent="0.3">
      <c r="B43" s="264">
        <v>5</v>
      </c>
      <c r="C43" s="556" t="s">
        <v>252</v>
      </c>
      <c r="D43" s="73"/>
      <c r="E43" s="105" t="str">
        <f>IF(D43="","",VLOOKUP(D43,'10. Condition and Temporal'!$B$6:$D$103,3,FALSE))</f>
        <v/>
      </c>
      <c r="F43" s="707"/>
      <c r="G43" s="708"/>
      <c r="H43" s="71"/>
      <c r="I43" s="716"/>
      <c r="J43" s="717"/>
      <c r="K43" s="717"/>
      <c r="L43" s="947" t="str">
        <f t="shared" si="9"/>
        <v/>
      </c>
      <c r="M43" s="948"/>
      <c r="N43" s="949"/>
      <c r="O43" s="74"/>
      <c r="P43" s="12"/>
      <c r="R43" s="652"/>
      <c r="T43" s="661" t="str">
        <f>IF(D43="","",VLOOKUP(D43,'9. All Habitats + Multipliers'!$C$4:$K$102,5,FALSE))</f>
        <v/>
      </c>
      <c r="U43" s="662"/>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x14ac:dyDescent="0.3">
      <c r="B44" s="264">
        <v>6</v>
      </c>
      <c r="C44" s="556" t="s">
        <v>252</v>
      </c>
      <c r="D44" s="73"/>
      <c r="E44" s="105" t="str">
        <f>IF(D44="","",VLOOKUP(D44,'10. Condition and Temporal'!$B$6:$D$103,3,FALSE))</f>
        <v/>
      </c>
      <c r="F44" s="707"/>
      <c r="G44" s="708"/>
      <c r="H44" s="71"/>
      <c r="I44" s="716"/>
      <c r="J44" s="717"/>
      <c r="K44" s="717"/>
      <c r="L44" s="947" t="str">
        <f t="shared" si="9"/>
        <v/>
      </c>
      <c r="M44" s="948"/>
      <c r="N44" s="949"/>
      <c r="O44" s="74"/>
      <c r="P44" s="12"/>
      <c r="R44" s="652"/>
      <c r="T44" s="661" t="str">
        <f>IF(D44="","",VLOOKUP(D44,'9. All Habitats + Multipliers'!$C$4:$K$102,5,FALSE))</f>
        <v/>
      </c>
      <c r="U44" s="662"/>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x14ac:dyDescent="0.3">
      <c r="B45" s="264">
        <v>7</v>
      </c>
      <c r="C45" s="556" t="s">
        <v>252</v>
      </c>
      <c r="D45" s="73"/>
      <c r="E45" s="105" t="str">
        <f>IF(D45="","",VLOOKUP(D45,'10. Condition and Temporal'!$B$6:$D$103,3,FALSE))</f>
        <v/>
      </c>
      <c r="F45" s="707"/>
      <c r="G45" s="708"/>
      <c r="H45" s="71"/>
      <c r="I45" s="716"/>
      <c r="J45" s="717"/>
      <c r="K45" s="717"/>
      <c r="L45" s="947" t="str">
        <f t="shared" si="9"/>
        <v/>
      </c>
      <c r="M45" s="948"/>
      <c r="N45" s="949"/>
      <c r="O45" s="74"/>
      <c r="P45" s="12"/>
      <c r="R45" s="652"/>
      <c r="T45" s="661" t="str">
        <f>IF(D45="","",VLOOKUP(D45,'9. All Habitats + Multipliers'!$C$4:$K$102,5,FALSE))</f>
        <v/>
      </c>
      <c r="U45" s="662"/>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x14ac:dyDescent="0.3">
      <c r="B46" s="264">
        <v>8</v>
      </c>
      <c r="C46" s="556" t="s">
        <v>252</v>
      </c>
      <c r="D46" s="73"/>
      <c r="E46" s="105" t="str">
        <f>IF(D46="","",VLOOKUP(D46,'10. Condition and Temporal'!$B$6:$D$103,3,FALSE))</f>
        <v/>
      </c>
      <c r="F46" s="707"/>
      <c r="G46" s="708"/>
      <c r="H46" s="71"/>
      <c r="I46" s="716"/>
      <c r="J46" s="717"/>
      <c r="K46" s="717"/>
      <c r="L46" s="947" t="str">
        <f t="shared" si="9"/>
        <v/>
      </c>
      <c r="M46" s="948"/>
      <c r="N46" s="949"/>
      <c r="O46" s="74"/>
      <c r="P46" s="12"/>
      <c r="R46" s="652"/>
      <c r="T46" s="661" t="str">
        <f>IF(D46="","",VLOOKUP(D46,'9. All Habitats + Multipliers'!$C$4:$K$102,5,FALSE))</f>
        <v/>
      </c>
      <c r="U46" s="662"/>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x14ac:dyDescent="0.3">
      <c r="B47" s="264">
        <v>9</v>
      </c>
      <c r="C47" s="556" t="s">
        <v>252</v>
      </c>
      <c r="D47" s="73"/>
      <c r="E47" s="105" t="str">
        <f>IF(D47="","",VLOOKUP(D47,'10. Condition and Temporal'!$B$6:$D$103,3,FALSE))</f>
        <v/>
      </c>
      <c r="F47" s="707"/>
      <c r="G47" s="708"/>
      <c r="H47" s="71"/>
      <c r="I47" s="716"/>
      <c r="J47" s="717"/>
      <c r="K47" s="717"/>
      <c r="L47" s="947" t="str">
        <f t="shared" si="9"/>
        <v/>
      </c>
      <c r="M47" s="948"/>
      <c r="N47" s="949"/>
      <c r="O47" s="74"/>
      <c r="P47" s="12"/>
      <c r="R47" s="652"/>
      <c r="T47" s="661" t="str">
        <f>IF(D47="","",VLOOKUP(D47,'9. All Habitats + Multipliers'!$C$4:$K$102,5,FALSE))</f>
        <v/>
      </c>
      <c r="U47" s="662"/>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x14ac:dyDescent="0.3">
      <c r="B48" s="264">
        <v>10</v>
      </c>
      <c r="C48" s="556" t="s">
        <v>252</v>
      </c>
      <c r="D48" s="73"/>
      <c r="E48" s="105" t="str">
        <f>IF(D48="","",VLOOKUP(D48,'10. Condition and Temporal'!$B$6:$D$103,3,FALSE))</f>
        <v/>
      </c>
      <c r="F48" s="707"/>
      <c r="G48" s="708"/>
      <c r="H48" s="71"/>
      <c r="I48" s="716"/>
      <c r="J48" s="717"/>
      <c r="K48" s="717"/>
      <c r="L48" s="947" t="str">
        <f t="shared" si="9"/>
        <v/>
      </c>
      <c r="M48" s="948"/>
      <c r="N48" s="949"/>
      <c r="O48" s="74"/>
      <c r="P48" s="12"/>
      <c r="R48" s="652"/>
      <c r="T48" s="661" t="str">
        <f>IF(D48="","",VLOOKUP(D48,'9. All Habitats + Multipliers'!$C$4:$K$102,5,FALSE))</f>
        <v/>
      </c>
      <c r="U48" s="662"/>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x14ac:dyDescent="0.3">
      <c r="B49" s="264">
        <v>11</v>
      </c>
      <c r="C49" s="556" t="s">
        <v>252</v>
      </c>
      <c r="D49" s="73"/>
      <c r="E49" s="105" t="str">
        <f>IF(D49="","",VLOOKUP(D49,'10. Condition and Temporal'!$B$6:$D$103,3,FALSE))</f>
        <v/>
      </c>
      <c r="F49" s="707"/>
      <c r="G49" s="708"/>
      <c r="H49" s="71"/>
      <c r="I49" s="716"/>
      <c r="J49" s="717"/>
      <c r="K49" s="717"/>
      <c r="L49" s="947" t="str">
        <f t="shared" si="9"/>
        <v/>
      </c>
      <c r="M49" s="948"/>
      <c r="N49" s="949"/>
      <c r="O49" s="74"/>
      <c r="P49" s="12"/>
      <c r="R49" s="652"/>
      <c r="T49" s="661" t="str">
        <f>IF(D49="","",VLOOKUP(D49,'9. All Habitats + Multipliers'!$C$4:$K$102,5,FALSE))</f>
        <v/>
      </c>
      <c r="U49" s="662"/>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x14ac:dyDescent="0.3">
      <c r="B50" s="264">
        <v>12</v>
      </c>
      <c r="C50" s="556" t="s">
        <v>252</v>
      </c>
      <c r="D50" s="73"/>
      <c r="E50" s="105" t="str">
        <f>IF(D50="","",VLOOKUP(D50,'10. Condition and Temporal'!$B$6:$D$103,3,FALSE))</f>
        <v/>
      </c>
      <c r="F50" s="707"/>
      <c r="G50" s="708"/>
      <c r="H50" s="71"/>
      <c r="I50" s="716"/>
      <c r="J50" s="717"/>
      <c r="K50" s="717"/>
      <c r="L50" s="947" t="str">
        <f t="shared" si="9"/>
        <v/>
      </c>
      <c r="M50" s="948"/>
      <c r="N50" s="949"/>
      <c r="O50" s="74"/>
      <c r="P50" s="12"/>
      <c r="R50" s="652"/>
      <c r="T50" s="661" t="str">
        <f>IF(D50="","",VLOOKUP(D50,'9. All Habitats + Multipliers'!$C$4:$K$102,5,FALSE))</f>
        <v/>
      </c>
      <c r="U50" s="662"/>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x14ac:dyDescent="0.3">
      <c r="B51" s="264">
        <v>13</v>
      </c>
      <c r="C51" s="556" t="s">
        <v>252</v>
      </c>
      <c r="D51" s="73"/>
      <c r="E51" s="105" t="str">
        <f>IF(D51="","",VLOOKUP(D51,'10. Condition and Temporal'!$B$6:$D$103,3,FALSE))</f>
        <v/>
      </c>
      <c r="F51" s="707"/>
      <c r="G51" s="708"/>
      <c r="H51" s="71"/>
      <c r="I51" s="716"/>
      <c r="J51" s="717"/>
      <c r="K51" s="717"/>
      <c r="L51" s="947" t="str">
        <f t="shared" si="9"/>
        <v/>
      </c>
      <c r="M51" s="948"/>
      <c r="N51" s="949"/>
      <c r="O51" s="74"/>
      <c r="P51" s="12"/>
      <c r="R51" s="652"/>
      <c r="T51" s="661" t="str">
        <f>IF(D51="","",VLOOKUP(D51,'9. All Habitats + Multipliers'!$C$4:$K$102,5,FALSE))</f>
        <v/>
      </c>
      <c r="U51" s="662"/>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x14ac:dyDescent="0.3">
      <c r="B52" s="264">
        <v>14</v>
      </c>
      <c r="C52" s="556" t="s">
        <v>252</v>
      </c>
      <c r="D52" s="73"/>
      <c r="E52" s="105" t="str">
        <f>IF(D52="","",VLOOKUP(D52,'10. Condition and Temporal'!$B$6:$D$103,3,FALSE))</f>
        <v/>
      </c>
      <c r="F52" s="707"/>
      <c r="G52" s="708"/>
      <c r="H52" s="71"/>
      <c r="I52" s="716"/>
      <c r="J52" s="717"/>
      <c r="K52" s="717"/>
      <c r="L52" s="947" t="str">
        <f t="shared" si="9"/>
        <v/>
      </c>
      <c r="M52" s="948"/>
      <c r="N52" s="949"/>
      <c r="O52" s="74"/>
      <c r="P52" s="12"/>
      <c r="R52" s="652"/>
      <c r="T52" s="661" t="str">
        <f>IF(D52="","",VLOOKUP(D52,'9. All Habitats + Multipliers'!$C$4:$K$102,5,FALSE))</f>
        <v/>
      </c>
      <c r="U52" s="662"/>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x14ac:dyDescent="0.3">
      <c r="B53" s="264">
        <v>15</v>
      </c>
      <c r="C53" s="556" t="s">
        <v>252</v>
      </c>
      <c r="D53" s="73"/>
      <c r="E53" s="105" t="str">
        <f>IF(D53="","",VLOOKUP(D53,'10. Condition and Temporal'!$B$6:$D$103,3,FALSE))</f>
        <v/>
      </c>
      <c r="F53" s="707"/>
      <c r="G53" s="708"/>
      <c r="H53" s="71"/>
      <c r="I53" s="716"/>
      <c r="J53" s="717"/>
      <c r="K53" s="717"/>
      <c r="L53" s="947" t="str">
        <f t="shared" si="9"/>
        <v/>
      </c>
      <c r="M53" s="948"/>
      <c r="N53" s="949"/>
      <c r="O53" s="74"/>
      <c r="P53" s="12"/>
      <c r="R53" s="652"/>
      <c r="T53" s="661" t="str">
        <f>IF(D53="","",VLOOKUP(D53,'9. All Habitats + Multipliers'!$C$4:$K$102,5,FALSE))</f>
        <v/>
      </c>
      <c r="U53" s="662"/>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x14ac:dyDescent="0.3">
      <c r="B54" s="264">
        <v>16</v>
      </c>
      <c r="C54" s="556" t="s">
        <v>252</v>
      </c>
      <c r="D54" s="73"/>
      <c r="E54" s="105" t="str">
        <f>IF(D54="","",VLOOKUP(D54,'10. Condition and Temporal'!$B$6:$D$103,3,FALSE))</f>
        <v/>
      </c>
      <c r="F54" s="707"/>
      <c r="G54" s="708"/>
      <c r="H54" s="71"/>
      <c r="I54" s="716"/>
      <c r="J54" s="717"/>
      <c r="K54" s="717"/>
      <c r="L54" s="947" t="str">
        <f t="shared" si="9"/>
        <v/>
      </c>
      <c r="M54" s="948"/>
      <c r="N54" s="949"/>
      <c r="O54" s="74"/>
      <c r="P54" s="12"/>
      <c r="R54" s="652"/>
      <c r="T54" s="661" t="str">
        <f>IF(D54="","",VLOOKUP(D54,'9. All Habitats + Multipliers'!$C$4:$K$102,5,FALSE))</f>
        <v/>
      </c>
      <c r="U54" s="662"/>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x14ac:dyDescent="0.3">
      <c r="B55" s="264">
        <v>17</v>
      </c>
      <c r="C55" s="556" t="s">
        <v>252</v>
      </c>
      <c r="D55" s="73"/>
      <c r="E55" s="105" t="str">
        <f>IF(D55="","",VLOOKUP(D55,'10. Condition and Temporal'!$B$6:$D$103,3,FALSE))</f>
        <v/>
      </c>
      <c r="F55" s="707"/>
      <c r="G55" s="708"/>
      <c r="H55" s="71"/>
      <c r="I55" s="716"/>
      <c r="J55" s="717"/>
      <c r="K55" s="717"/>
      <c r="L55" s="947" t="str">
        <f t="shared" si="9"/>
        <v/>
      </c>
      <c r="M55" s="948"/>
      <c r="N55" s="949"/>
      <c r="O55" s="74"/>
      <c r="P55" s="12"/>
      <c r="R55" s="652"/>
      <c r="T55" s="661" t="str">
        <f>IF(D55="","",VLOOKUP(D55,'9. All Habitats + Multipliers'!$C$4:$K$102,5,FALSE))</f>
        <v/>
      </c>
      <c r="U55" s="662"/>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x14ac:dyDescent="0.3">
      <c r="B56" s="264">
        <v>18</v>
      </c>
      <c r="C56" s="556" t="s">
        <v>252</v>
      </c>
      <c r="D56" s="73"/>
      <c r="E56" s="105" t="str">
        <f>IF(D56="","",VLOOKUP(D56,'10. Condition and Temporal'!$B$6:$D$103,3,FALSE))</f>
        <v/>
      </c>
      <c r="F56" s="707"/>
      <c r="G56" s="708"/>
      <c r="H56" s="71"/>
      <c r="I56" s="716"/>
      <c r="J56" s="717"/>
      <c r="K56" s="717"/>
      <c r="L56" s="947" t="str">
        <f t="shared" si="9"/>
        <v/>
      </c>
      <c r="M56" s="948"/>
      <c r="N56" s="949"/>
      <c r="O56" s="74"/>
      <c r="P56" s="12"/>
      <c r="R56" s="652"/>
      <c r="T56" s="661" t="str">
        <f>IF(D56="","",VLOOKUP(D56,'9. All Habitats + Multipliers'!$C$4:$K$102,5,FALSE))</f>
        <v/>
      </c>
      <c r="U56" s="662"/>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x14ac:dyDescent="0.3">
      <c r="B57" s="264">
        <v>19</v>
      </c>
      <c r="C57" s="556" t="s">
        <v>252</v>
      </c>
      <c r="D57" s="73"/>
      <c r="E57" s="105" t="str">
        <f>IF(D57="","",VLOOKUP(D57,'10. Condition and Temporal'!$B$6:$D$103,3,FALSE))</f>
        <v/>
      </c>
      <c r="F57" s="707"/>
      <c r="G57" s="708"/>
      <c r="H57" s="71"/>
      <c r="I57" s="716"/>
      <c r="J57" s="717"/>
      <c r="K57" s="717"/>
      <c r="L57" s="947" t="str">
        <f t="shared" si="9"/>
        <v/>
      </c>
      <c r="M57" s="948"/>
      <c r="N57" s="949"/>
      <c r="O57" s="74"/>
      <c r="P57" s="12"/>
      <c r="R57" s="652"/>
      <c r="T57" s="661" t="str">
        <f>IF(D57="","",VLOOKUP(D57,'9. All Habitats + Multipliers'!$C$4:$K$102,5,FALSE))</f>
        <v/>
      </c>
      <c r="U57" s="662"/>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x14ac:dyDescent="0.35">
      <c r="B58" s="265">
        <v>20</v>
      </c>
      <c r="C58" s="557" t="s">
        <v>252</v>
      </c>
      <c r="D58" s="135"/>
      <c r="E58" s="136" t="str">
        <f>IF(D58="","",VLOOKUP(D58,'10. Condition and Temporal'!$B$6:$D$103,3,FALSE))</f>
        <v/>
      </c>
      <c r="F58" s="961"/>
      <c r="G58" s="962"/>
      <c r="H58" s="137"/>
      <c r="I58" s="942"/>
      <c r="J58" s="943"/>
      <c r="K58" s="943"/>
      <c r="L58" s="944" t="str">
        <f t="shared" si="9"/>
        <v/>
      </c>
      <c r="M58" s="945"/>
      <c r="N58" s="946"/>
      <c r="O58" s="75"/>
      <c r="P58" s="14"/>
      <c r="R58" s="652"/>
      <c r="T58" s="663" t="str">
        <f>IF(D58="","",VLOOKUP(D58,'9. All Habitats + Multipliers'!$C$4:$K$102,5,FALSE))</f>
        <v/>
      </c>
      <c r="U58" s="664"/>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x14ac:dyDescent="0.35">
      <c r="H59" s="269" t="s">
        <v>227</v>
      </c>
      <c r="I59" s="816">
        <f>SUM(I39:K58)</f>
        <v>0</v>
      </c>
      <c r="J59" s="817"/>
      <c r="K59" s="818"/>
      <c r="L59" s="862">
        <f>SUM(L39:N58)</f>
        <v>0</v>
      </c>
      <c r="M59" s="926"/>
      <c r="N59" s="863"/>
      <c r="R59" s="652"/>
      <c r="AJ59" s="157"/>
      <c r="AK59" s="157"/>
      <c r="AL59" s="157"/>
      <c r="AM59" s="157"/>
      <c r="AN59" s="157"/>
    </row>
    <row r="60" spans="1:73" s="25" customFormat="1" x14ac:dyDescent="0.3">
      <c r="R60" s="652"/>
      <c r="AJ60" s="157"/>
      <c r="AK60" s="157"/>
      <c r="AL60" s="157"/>
      <c r="AM60" s="157"/>
      <c r="AN60" s="157"/>
    </row>
    <row r="61" spans="1:73" s="25" customFormat="1" x14ac:dyDescent="0.3">
      <c r="R61" s="652"/>
      <c r="AJ61" s="157"/>
      <c r="AK61" s="157"/>
      <c r="AL61" s="157"/>
      <c r="AM61" s="157"/>
      <c r="AN61" s="157"/>
      <c r="BA61" s="50" t="s">
        <v>117</v>
      </c>
    </row>
    <row r="62" spans="1:73" s="25" customFormat="1" ht="21" x14ac:dyDescent="0.4">
      <c r="B62" s="57" t="s">
        <v>118</v>
      </c>
      <c r="D62" s="88"/>
      <c r="H62" s="26"/>
      <c r="R62" s="652"/>
      <c r="AJ62" s="157"/>
      <c r="AK62" s="157"/>
      <c r="AL62" s="157"/>
      <c r="AM62" s="157"/>
      <c r="AN62" s="157"/>
      <c r="BA62" s="50" t="s">
        <v>119</v>
      </c>
    </row>
    <row r="63" spans="1:73" s="25" customFormat="1" ht="15" thickBot="1" x14ac:dyDescent="0.35">
      <c r="A63" s="877"/>
      <c r="R63" s="652"/>
      <c r="AJ63" s="157"/>
      <c r="AK63" s="157"/>
      <c r="AL63" s="157"/>
      <c r="AM63" s="157"/>
      <c r="AN63" s="157"/>
      <c r="BA63" s="927" t="s">
        <v>132</v>
      </c>
    </row>
    <row r="64" spans="1:73" s="25" customFormat="1" ht="16.2" customHeight="1" thickBot="1" x14ac:dyDescent="0.35">
      <c r="A64" s="877"/>
      <c r="B64" s="684" t="s">
        <v>120</v>
      </c>
      <c r="C64" s="680" t="s">
        <v>121</v>
      </c>
      <c r="D64" s="682"/>
      <c r="E64" s="723" t="s">
        <v>255</v>
      </c>
      <c r="F64" s="724"/>
      <c r="G64" s="725"/>
      <c r="H64" s="666" t="s">
        <v>123</v>
      </c>
      <c r="I64" s="666" t="s">
        <v>256</v>
      </c>
      <c r="J64" s="668" t="s">
        <v>125</v>
      </c>
      <c r="K64" s="668"/>
      <c r="L64" s="680" t="s">
        <v>126</v>
      </c>
      <c r="M64" s="681" t="s">
        <v>127</v>
      </c>
      <c r="N64" s="682"/>
      <c r="O64" s="747" t="s">
        <v>68</v>
      </c>
      <c r="P64" s="748"/>
      <c r="R64" s="652"/>
      <c r="T64" s="659" t="s">
        <v>128</v>
      </c>
      <c r="U64" s="660"/>
      <c r="V64" s="660"/>
      <c r="W64" s="660"/>
      <c r="X64" s="660"/>
      <c r="Y64" s="660"/>
      <c r="Z64" s="660"/>
      <c r="AA64" s="660"/>
      <c r="AB64" s="660"/>
      <c r="AC64" s="660"/>
      <c r="AD64" s="665"/>
      <c r="AE64" s="666" t="s">
        <v>129</v>
      </c>
      <c r="AF64" s="659" t="s">
        <v>130</v>
      </c>
      <c r="AG64" s="660"/>
      <c r="AH64" s="660"/>
      <c r="AI64" s="660"/>
      <c r="AJ64" s="660"/>
      <c r="AK64" s="660"/>
      <c r="AL64" s="660"/>
      <c r="AM64" s="660"/>
      <c r="AN64" s="660"/>
      <c r="AO64" s="660"/>
      <c r="AP64" s="665"/>
      <c r="AQ64" s="812" t="s">
        <v>131</v>
      </c>
      <c r="AR64" s="659" t="s">
        <v>130</v>
      </c>
      <c r="AS64" s="660"/>
      <c r="AT64" s="660"/>
      <c r="AU64" s="660"/>
      <c r="AV64" s="665"/>
      <c r="BA64" s="927"/>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x14ac:dyDescent="0.35">
      <c r="A65" s="877"/>
      <c r="B65" s="958"/>
      <c r="C65" s="425" t="s">
        <v>133</v>
      </c>
      <c r="D65" s="394" t="s">
        <v>134</v>
      </c>
      <c r="E65" s="392" t="s">
        <v>135</v>
      </c>
      <c r="F65" s="959" t="s">
        <v>136</v>
      </c>
      <c r="G65" s="960"/>
      <c r="H65" s="963"/>
      <c r="I65" s="963"/>
      <c r="J65" s="964"/>
      <c r="K65" s="964"/>
      <c r="L65" s="951"/>
      <c r="M65" s="952"/>
      <c r="N65" s="953"/>
      <c r="O65" s="395" t="s">
        <v>83</v>
      </c>
      <c r="P65" s="394" t="s">
        <v>84</v>
      </c>
      <c r="R65" s="652"/>
      <c r="T65" s="176" t="s">
        <v>137</v>
      </c>
      <c r="U65" s="111" t="s">
        <v>138</v>
      </c>
      <c r="V65" s="112" t="s">
        <v>139</v>
      </c>
      <c r="W65" s="368" t="s">
        <v>140</v>
      </c>
      <c r="X65" s="357" t="s">
        <v>141</v>
      </c>
      <c r="Y65" s="366"/>
      <c r="Z65" s="366"/>
      <c r="AA65" s="366"/>
      <c r="AB65" s="358" t="s">
        <v>142</v>
      </c>
      <c r="AC65" s="367" t="s">
        <v>143</v>
      </c>
      <c r="AD65" s="112" t="s">
        <v>144</v>
      </c>
      <c r="AE65" s="931"/>
      <c r="AF65" s="333" t="s">
        <v>137</v>
      </c>
      <c r="AG65" s="351" t="s">
        <v>85</v>
      </c>
      <c r="AH65" s="350" t="s">
        <v>86</v>
      </c>
      <c r="AI65" s="351" t="s">
        <v>87</v>
      </c>
      <c r="AJ65" s="467" t="s">
        <v>86</v>
      </c>
      <c r="AK65" s="468"/>
      <c r="AL65" s="468"/>
      <c r="AM65" s="468"/>
      <c r="AN65" s="467" t="s">
        <v>71</v>
      </c>
      <c r="AO65" s="353" t="s">
        <v>71</v>
      </c>
      <c r="AP65" s="350" t="s">
        <v>88</v>
      </c>
      <c r="AQ65" s="930"/>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6" x14ac:dyDescent="0.3">
      <c r="B66" s="270">
        <v>1</v>
      </c>
      <c r="C66" s="415" t="str">
        <f t="shared" ref="C66:C85" si="13">IF(D66="","",C11)</f>
        <v/>
      </c>
      <c r="D66" s="416" t="str">
        <f>IF(OR(K11="", K11=0),"",D11)</f>
        <v/>
      </c>
      <c r="E66" s="417" t="str">
        <f t="shared" ref="E66:E85" si="14">IF(AX66="","",AX66)</f>
        <v/>
      </c>
      <c r="F66" s="881"/>
      <c r="G66" s="882"/>
      <c r="H66" s="418" t="str">
        <f t="shared" ref="H66:H85" si="15">IF(D66="","",AB66)</f>
        <v/>
      </c>
      <c r="I66" s="423" t="str">
        <f>IF(OR(K11="",K11=0),"",K11)</f>
        <v/>
      </c>
      <c r="J66" s="965" t="str">
        <f>IF(F66="","",VLOOKUP(F66,'10. Condition and Temporal'!$B$6:$F$103,5,FALSE))</f>
        <v/>
      </c>
      <c r="K66" s="966"/>
      <c r="L66" s="295" t="str">
        <f>IFERROR(IF(D66="","",IF(AX66="Distinctiveness",(((((I66*AH66*AJ66*AY66)-(I66*V66*X66))*(AV66*AT66))+(I66*V66*X66))*AP66)/1000,((((I66*AH66*AJ66*AY66)-(I66*V66*X66*AJ11))*(AV66*AR66))+(I66*V66*X66*AJ11))*AP66/1000)),"This intervention is not permitted within the SSM ▲")</f>
        <v/>
      </c>
      <c r="M66" s="898" t="str">
        <f>IFERROR(IF(F66="","",L66-AD66), "Error ▲")</f>
        <v/>
      </c>
      <c r="N66" s="899"/>
      <c r="O66" s="217"/>
      <c r="P66" s="142"/>
      <c r="R66" s="652"/>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6" x14ac:dyDescent="0.3">
      <c r="B67" s="264">
        <v>2</v>
      </c>
      <c r="C67" s="119" t="str">
        <f t="shared" si="13"/>
        <v/>
      </c>
      <c r="D67" s="208" t="str">
        <f t="shared" ref="D67:D85" si="44">IF(OR(K12="", K12=0),"",D12)</f>
        <v/>
      </c>
      <c r="E67" s="166" t="str">
        <f t="shared" si="14"/>
        <v/>
      </c>
      <c r="F67" s="670"/>
      <c r="G67" s="671"/>
      <c r="H67" s="163" t="str">
        <f t="shared" si="15"/>
        <v/>
      </c>
      <c r="I67" s="317" t="str">
        <f t="shared" ref="I67:I85" si="45">IF(OR(K12="",K12=0),"",K12)</f>
        <v/>
      </c>
      <c r="J67" s="954" t="str">
        <f>IF(F67="","",VLOOKUP(F67,'10. Condition and Temporal'!$B$6:$F$103,5,FALSE))</f>
        <v/>
      </c>
      <c r="K67" s="955"/>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652"/>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6" x14ac:dyDescent="0.3">
      <c r="B68" s="264">
        <v>3</v>
      </c>
      <c r="C68" s="119" t="str">
        <f t="shared" si="13"/>
        <v/>
      </c>
      <c r="D68" s="208" t="str">
        <f t="shared" si="44"/>
        <v/>
      </c>
      <c r="E68" s="166" t="str">
        <f t="shared" si="14"/>
        <v/>
      </c>
      <c r="F68" s="670"/>
      <c r="G68" s="671"/>
      <c r="H68" s="163" t="str">
        <f t="shared" si="15"/>
        <v/>
      </c>
      <c r="I68" s="317" t="str">
        <f t="shared" si="45"/>
        <v/>
      </c>
      <c r="J68" s="954" t="str">
        <f>IF(F68="","",VLOOKUP(F68,'10. Condition and Temporal'!$B$6:$F$103,5,FALSE))</f>
        <v/>
      </c>
      <c r="K68" s="955"/>
      <c r="L68" s="294" t="str">
        <f t="shared" si="46"/>
        <v/>
      </c>
      <c r="M68" s="948" t="str">
        <f t="shared" si="47"/>
        <v/>
      </c>
      <c r="N68" s="949"/>
      <c r="O68" s="74"/>
      <c r="P68" s="12"/>
      <c r="R68" s="652"/>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6" x14ac:dyDescent="0.3">
      <c r="B69" s="264">
        <v>4</v>
      </c>
      <c r="C69" s="119" t="str">
        <f t="shared" si="13"/>
        <v/>
      </c>
      <c r="D69" s="208" t="str">
        <f t="shared" si="44"/>
        <v/>
      </c>
      <c r="E69" s="166" t="str">
        <f t="shared" si="14"/>
        <v/>
      </c>
      <c r="F69" s="670"/>
      <c r="G69" s="671"/>
      <c r="H69" s="163" t="str">
        <f t="shared" si="15"/>
        <v/>
      </c>
      <c r="I69" s="317" t="str">
        <f t="shared" si="45"/>
        <v/>
      </c>
      <c r="J69" s="954" t="str">
        <f>IF(F69="","",VLOOKUP(F69,'10. Condition and Temporal'!$B$6:$F$103,5,FALSE))</f>
        <v/>
      </c>
      <c r="K69" s="955"/>
      <c r="L69" s="294" t="str">
        <f t="shared" si="46"/>
        <v/>
      </c>
      <c r="M69" s="948" t="str">
        <f t="shared" si="47"/>
        <v/>
      </c>
      <c r="N69" s="949"/>
      <c r="O69" s="74"/>
      <c r="P69" s="12"/>
      <c r="R69" s="652"/>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x14ac:dyDescent="0.3">
      <c r="B70" s="264">
        <v>5</v>
      </c>
      <c r="C70" s="119" t="str">
        <f t="shared" si="13"/>
        <v/>
      </c>
      <c r="D70" s="208" t="str">
        <f t="shared" si="44"/>
        <v/>
      </c>
      <c r="E70" s="166" t="str">
        <f t="shared" si="14"/>
        <v/>
      </c>
      <c r="F70" s="670"/>
      <c r="G70" s="671"/>
      <c r="H70" s="163" t="str">
        <f t="shared" si="15"/>
        <v/>
      </c>
      <c r="I70" s="317" t="str">
        <f t="shared" si="45"/>
        <v/>
      </c>
      <c r="J70" s="954" t="str">
        <f>IF(F70="","",VLOOKUP(F70,'10. Condition and Temporal'!$B$6:$F$103,5,FALSE))</f>
        <v/>
      </c>
      <c r="K70" s="955"/>
      <c r="L70" s="294" t="str">
        <f t="shared" si="46"/>
        <v/>
      </c>
      <c r="M70" s="948" t="str">
        <f t="shared" si="47"/>
        <v/>
      </c>
      <c r="N70" s="949"/>
      <c r="O70" s="74"/>
      <c r="P70" s="12"/>
      <c r="R70" s="652"/>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x14ac:dyDescent="0.3">
      <c r="B71" s="264">
        <v>6</v>
      </c>
      <c r="C71" s="119" t="str">
        <f t="shared" si="13"/>
        <v/>
      </c>
      <c r="D71" s="208" t="str">
        <f t="shared" si="44"/>
        <v/>
      </c>
      <c r="E71" s="166" t="str">
        <f t="shared" si="14"/>
        <v/>
      </c>
      <c r="F71" s="670"/>
      <c r="G71" s="671"/>
      <c r="H71" s="163" t="str">
        <f t="shared" si="15"/>
        <v/>
      </c>
      <c r="I71" s="317" t="str">
        <f t="shared" si="45"/>
        <v/>
      </c>
      <c r="J71" s="954" t="str">
        <f>IF(F71="","",VLOOKUP(F71,'10. Condition and Temporal'!$B$6:$F$103,5,FALSE))</f>
        <v/>
      </c>
      <c r="K71" s="955"/>
      <c r="L71" s="294" t="str">
        <f t="shared" si="46"/>
        <v/>
      </c>
      <c r="M71" s="948" t="str">
        <f t="shared" si="47"/>
        <v/>
      </c>
      <c r="N71" s="949"/>
      <c r="O71" s="74"/>
      <c r="P71" s="12"/>
      <c r="R71" s="652"/>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x14ac:dyDescent="0.3">
      <c r="B72" s="264">
        <v>7</v>
      </c>
      <c r="C72" s="119" t="str">
        <f t="shared" si="13"/>
        <v/>
      </c>
      <c r="D72" s="208" t="str">
        <f t="shared" si="44"/>
        <v/>
      </c>
      <c r="E72" s="166" t="str">
        <f t="shared" si="14"/>
        <v/>
      </c>
      <c r="F72" s="670"/>
      <c r="G72" s="671"/>
      <c r="H72" s="163" t="str">
        <f t="shared" si="15"/>
        <v/>
      </c>
      <c r="I72" s="317" t="str">
        <f t="shared" si="45"/>
        <v/>
      </c>
      <c r="J72" s="954" t="str">
        <f>IF(F72="","",VLOOKUP(F72,'10. Condition and Temporal'!$B$6:$F$103,5,FALSE))</f>
        <v/>
      </c>
      <c r="K72" s="955"/>
      <c r="L72" s="294" t="str">
        <f t="shared" si="46"/>
        <v/>
      </c>
      <c r="M72" s="948" t="str">
        <f t="shared" si="47"/>
        <v/>
      </c>
      <c r="N72" s="949"/>
      <c r="O72" s="74"/>
      <c r="P72" s="12"/>
      <c r="R72" s="652"/>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6" x14ac:dyDescent="0.3">
      <c r="B73" s="264">
        <v>8</v>
      </c>
      <c r="C73" s="119" t="str">
        <f t="shared" si="13"/>
        <v/>
      </c>
      <c r="D73" s="208" t="str">
        <f t="shared" si="44"/>
        <v/>
      </c>
      <c r="E73" s="166" t="str">
        <f t="shared" si="14"/>
        <v/>
      </c>
      <c r="F73" s="670"/>
      <c r="G73" s="671"/>
      <c r="H73" s="163" t="str">
        <f t="shared" si="15"/>
        <v/>
      </c>
      <c r="I73" s="317" t="str">
        <f t="shared" si="45"/>
        <v/>
      </c>
      <c r="J73" s="954" t="str">
        <f>IF(F73="","",VLOOKUP(F73,'10. Condition and Temporal'!$B$6:$F$103,5,FALSE))</f>
        <v/>
      </c>
      <c r="K73" s="955"/>
      <c r="L73" s="294" t="str">
        <f t="shared" si="46"/>
        <v/>
      </c>
      <c r="M73" s="948" t="str">
        <f t="shared" si="47"/>
        <v/>
      </c>
      <c r="N73" s="949"/>
      <c r="O73" s="74"/>
      <c r="P73" s="12"/>
      <c r="R73" s="652"/>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x14ac:dyDescent="0.3">
      <c r="B74" s="264">
        <v>9</v>
      </c>
      <c r="C74" s="119" t="str">
        <f t="shared" si="13"/>
        <v/>
      </c>
      <c r="D74" s="208" t="str">
        <f t="shared" si="44"/>
        <v/>
      </c>
      <c r="E74" s="166" t="str">
        <f t="shared" si="14"/>
        <v/>
      </c>
      <c r="F74" s="670"/>
      <c r="G74" s="671"/>
      <c r="H74" s="163" t="str">
        <f t="shared" si="15"/>
        <v/>
      </c>
      <c r="I74" s="317" t="str">
        <f t="shared" si="45"/>
        <v/>
      </c>
      <c r="J74" s="954" t="str">
        <f>IF(F74="","",VLOOKUP(F74,'10. Condition and Temporal'!$B$6:$F$103,5,FALSE))</f>
        <v/>
      </c>
      <c r="K74" s="955"/>
      <c r="L74" s="294" t="str">
        <f t="shared" si="46"/>
        <v/>
      </c>
      <c r="M74" s="948" t="str">
        <f t="shared" si="47"/>
        <v/>
      </c>
      <c r="N74" s="949"/>
      <c r="O74" s="74"/>
      <c r="P74" s="12"/>
      <c r="R74" s="652"/>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x14ac:dyDescent="0.3">
      <c r="B75" s="264">
        <v>10</v>
      </c>
      <c r="C75" s="119" t="str">
        <f t="shared" si="13"/>
        <v/>
      </c>
      <c r="D75" s="208" t="str">
        <f t="shared" si="44"/>
        <v/>
      </c>
      <c r="E75" s="166" t="str">
        <f t="shared" si="14"/>
        <v/>
      </c>
      <c r="F75" s="670"/>
      <c r="G75" s="671"/>
      <c r="H75" s="163" t="str">
        <f t="shared" si="15"/>
        <v/>
      </c>
      <c r="I75" s="317" t="str">
        <f t="shared" si="45"/>
        <v/>
      </c>
      <c r="J75" s="954" t="str">
        <f>IF(F75="","",VLOOKUP(F75,'10. Condition and Temporal'!$B$6:$F$103,5,FALSE))</f>
        <v/>
      </c>
      <c r="K75" s="955"/>
      <c r="L75" s="294" t="str">
        <f t="shared" si="46"/>
        <v/>
      </c>
      <c r="M75" s="948" t="str">
        <f t="shared" si="47"/>
        <v/>
      </c>
      <c r="N75" s="949"/>
      <c r="O75" s="74"/>
      <c r="P75" s="12"/>
      <c r="R75" s="652"/>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6" x14ac:dyDescent="0.3">
      <c r="B76" s="264">
        <v>11</v>
      </c>
      <c r="C76" s="119" t="str">
        <f t="shared" si="13"/>
        <v/>
      </c>
      <c r="D76" s="208" t="str">
        <f t="shared" si="44"/>
        <v/>
      </c>
      <c r="E76" s="166" t="str">
        <f t="shared" si="14"/>
        <v/>
      </c>
      <c r="F76" s="670"/>
      <c r="G76" s="671"/>
      <c r="H76" s="163" t="str">
        <f t="shared" si="15"/>
        <v/>
      </c>
      <c r="I76" s="317" t="str">
        <f t="shared" si="45"/>
        <v/>
      </c>
      <c r="J76" s="954" t="str">
        <f>IF(F76="","",VLOOKUP(F76,'10. Condition and Temporal'!$B$6:$F$103,5,FALSE))</f>
        <v/>
      </c>
      <c r="K76" s="955"/>
      <c r="L76" s="294" t="str">
        <f t="shared" si="46"/>
        <v/>
      </c>
      <c r="M76" s="948" t="str">
        <f t="shared" si="47"/>
        <v/>
      </c>
      <c r="N76" s="949"/>
      <c r="O76" s="74"/>
      <c r="P76" s="12"/>
      <c r="R76" s="652"/>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x14ac:dyDescent="0.3">
      <c r="B77" s="264">
        <v>12</v>
      </c>
      <c r="C77" s="119" t="str">
        <f t="shared" si="13"/>
        <v/>
      </c>
      <c r="D77" s="208" t="str">
        <f t="shared" si="44"/>
        <v/>
      </c>
      <c r="E77" s="166" t="str">
        <f t="shared" si="14"/>
        <v/>
      </c>
      <c r="F77" s="670"/>
      <c r="G77" s="671"/>
      <c r="H77" s="163" t="str">
        <f t="shared" si="15"/>
        <v/>
      </c>
      <c r="I77" s="317" t="str">
        <f t="shared" si="45"/>
        <v/>
      </c>
      <c r="J77" s="954" t="str">
        <f>IF(F77="","",VLOOKUP(F77,'10. Condition and Temporal'!$B$6:$F$103,5,FALSE))</f>
        <v/>
      </c>
      <c r="K77" s="955"/>
      <c r="L77" s="294" t="str">
        <f t="shared" si="46"/>
        <v/>
      </c>
      <c r="M77" s="948" t="str">
        <f t="shared" si="47"/>
        <v/>
      </c>
      <c r="N77" s="949"/>
      <c r="O77" s="74"/>
      <c r="P77" s="12"/>
      <c r="R77" s="652"/>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x14ac:dyDescent="0.3">
      <c r="B78" s="264">
        <v>13</v>
      </c>
      <c r="C78" s="119" t="str">
        <f t="shared" si="13"/>
        <v/>
      </c>
      <c r="D78" s="208" t="str">
        <f t="shared" si="44"/>
        <v/>
      </c>
      <c r="E78" s="166" t="str">
        <f t="shared" si="14"/>
        <v/>
      </c>
      <c r="F78" s="670"/>
      <c r="G78" s="671"/>
      <c r="H78" s="163" t="str">
        <f t="shared" si="15"/>
        <v/>
      </c>
      <c r="I78" s="317" t="str">
        <f t="shared" si="45"/>
        <v/>
      </c>
      <c r="J78" s="954" t="str">
        <f>IF(F78="","",VLOOKUP(F78,'10. Condition and Temporal'!$B$6:$F$103,5,FALSE))</f>
        <v/>
      </c>
      <c r="K78" s="955"/>
      <c r="L78" s="294" t="str">
        <f t="shared" si="46"/>
        <v/>
      </c>
      <c r="M78" s="948" t="str">
        <f t="shared" si="47"/>
        <v/>
      </c>
      <c r="N78" s="949"/>
      <c r="O78" s="74"/>
      <c r="P78" s="12"/>
      <c r="R78" s="652"/>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6" x14ac:dyDescent="0.3">
      <c r="B79" s="264">
        <v>14</v>
      </c>
      <c r="C79" s="119" t="str">
        <f t="shared" si="13"/>
        <v/>
      </c>
      <c r="D79" s="208" t="str">
        <f t="shared" si="44"/>
        <v/>
      </c>
      <c r="E79" s="166" t="str">
        <f t="shared" si="14"/>
        <v/>
      </c>
      <c r="F79" s="670"/>
      <c r="G79" s="671"/>
      <c r="H79" s="163" t="str">
        <f t="shared" si="15"/>
        <v/>
      </c>
      <c r="I79" s="317" t="str">
        <f t="shared" si="45"/>
        <v/>
      </c>
      <c r="J79" s="954" t="str">
        <f>IF(F79="","",VLOOKUP(F79,'10. Condition and Temporal'!$B$6:$F$103,5,FALSE))</f>
        <v/>
      </c>
      <c r="K79" s="955"/>
      <c r="L79" s="294" t="str">
        <f t="shared" si="46"/>
        <v/>
      </c>
      <c r="M79" s="948" t="str">
        <f t="shared" si="47"/>
        <v/>
      </c>
      <c r="N79" s="949"/>
      <c r="O79" s="74"/>
      <c r="P79" s="12"/>
      <c r="R79" s="652"/>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x14ac:dyDescent="0.3">
      <c r="B80" s="264">
        <v>15</v>
      </c>
      <c r="C80" s="119" t="str">
        <f t="shared" si="13"/>
        <v/>
      </c>
      <c r="D80" s="208" t="str">
        <f t="shared" si="44"/>
        <v/>
      </c>
      <c r="E80" s="166" t="str">
        <f t="shared" si="14"/>
        <v/>
      </c>
      <c r="F80" s="670"/>
      <c r="G80" s="671"/>
      <c r="H80" s="163" t="str">
        <f t="shared" si="15"/>
        <v/>
      </c>
      <c r="I80" s="317" t="str">
        <f t="shared" si="45"/>
        <v/>
      </c>
      <c r="J80" s="954" t="str">
        <f>IF(F80="","",VLOOKUP(F80,'10. Condition and Temporal'!$B$6:$F$103,5,FALSE))</f>
        <v/>
      </c>
      <c r="K80" s="955"/>
      <c r="L80" s="294" t="str">
        <f t="shared" si="46"/>
        <v/>
      </c>
      <c r="M80" s="948" t="str">
        <f t="shared" si="47"/>
        <v/>
      </c>
      <c r="N80" s="949"/>
      <c r="O80" s="74"/>
      <c r="P80" s="12"/>
      <c r="R80" s="652"/>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x14ac:dyDescent="0.3">
      <c r="B81" s="264">
        <v>16</v>
      </c>
      <c r="C81" s="119" t="str">
        <f t="shared" si="13"/>
        <v/>
      </c>
      <c r="D81" s="208" t="str">
        <f t="shared" si="44"/>
        <v/>
      </c>
      <c r="E81" s="166" t="str">
        <f t="shared" si="14"/>
        <v/>
      </c>
      <c r="F81" s="670"/>
      <c r="G81" s="671"/>
      <c r="H81" s="163" t="str">
        <f t="shared" si="15"/>
        <v/>
      </c>
      <c r="I81" s="317" t="str">
        <f t="shared" si="45"/>
        <v/>
      </c>
      <c r="J81" s="954" t="str">
        <f>IF(F81="","",VLOOKUP(F81,'10. Condition and Temporal'!$B$6:$F$103,5,FALSE))</f>
        <v/>
      </c>
      <c r="K81" s="955"/>
      <c r="L81" s="294" t="str">
        <f t="shared" si="46"/>
        <v/>
      </c>
      <c r="M81" s="948" t="str">
        <f t="shared" si="47"/>
        <v/>
      </c>
      <c r="N81" s="949"/>
      <c r="O81" s="74"/>
      <c r="P81" s="12"/>
      <c r="R81" s="652"/>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6" x14ac:dyDescent="0.3">
      <c r="B82" s="264">
        <v>17</v>
      </c>
      <c r="C82" s="119" t="str">
        <f t="shared" si="13"/>
        <v/>
      </c>
      <c r="D82" s="208" t="str">
        <f t="shared" si="44"/>
        <v/>
      </c>
      <c r="E82" s="166" t="str">
        <f t="shared" si="14"/>
        <v/>
      </c>
      <c r="F82" s="670"/>
      <c r="G82" s="671"/>
      <c r="H82" s="163" t="str">
        <f t="shared" si="15"/>
        <v/>
      </c>
      <c r="I82" s="317" t="str">
        <f t="shared" si="45"/>
        <v/>
      </c>
      <c r="J82" s="954" t="str">
        <f>IF(F82="","",VLOOKUP(F82,'10. Condition and Temporal'!$B$6:$F$103,5,FALSE))</f>
        <v/>
      </c>
      <c r="K82" s="955"/>
      <c r="L82" s="294" t="str">
        <f t="shared" si="46"/>
        <v/>
      </c>
      <c r="M82" s="948" t="str">
        <f t="shared" si="47"/>
        <v/>
      </c>
      <c r="N82" s="949"/>
      <c r="O82" s="74"/>
      <c r="P82" s="12"/>
      <c r="R82" s="652"/>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x14ac:dyDescent="0.3">
      <c r="B83" s="264">
        <v>18</v>
      </c>
      <c r="C83" s="119" t="str">
        <f t="shared" si="13"/>
        <v/>
      </c>
      <c r="D83" s="208" t="str">
        <f t="shared" si="44"/>
        <v/>
      </c>
      <c r="E83" s="166" t="str">
        <f t="shared" si="14"/>
        <v/>
      </c>
      <c r="F83" s="670"/>
      <c r="G83" s="671"/>
      <c r="H83" s="163" t="str">
        <f t="shared" si="15"/>
        <v/>
      </c>
      <c r="I83" s="317" t="str">
        <f t="shared" si="45"/>
        <v/>
      </c>
      <c r="J83" s="954" t="str">
        <f>IF(F83="","",VLOOKUP(F83,'10. Condition and Temporal'!$B$6:$F$103,5,FALSE))</f>
        <v/>
      </c>
      <c r="K83" s="955"/>
      <c r="L83" s="294" t="str">
        <f t="shared" si="46"/>
        <v/>
      </c>
      <c r="M83" s="948" t="str">
        <f t="shared" si="47"/>
        <v/>
      </c>
      <c r="N83" s="949"/>
      <c r="O83" s="74"/>
      <c r="P83" s="12"/>
      <c r="R83" s="652"/>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x14ac:dyDescent="0.3">
      <c r="B84" s="264">
        <v>19</v>
      </c>
      <c r="C84" s="119" t="str">
        <f t="shared" si="13"/>
        <v/>
      </c>
      <c r="D84" s="208" t="str">
        <f t="shared" si="44"/>
        <v/>
      </c>
      <c r="E84" s="166" t="str">
        <f t="shared" si="14"/>
        <v/>
      </c>
      <c r="F84" s="670"/>
      <c r="G84" s="671"/>
      <c r="H84" s="163" t="str">
        <f t="shared" si="15"/>
        <v/>
      </c>
      <c r="I84" s="317" t="str">
        <f t="shared" si="45"/>
        <v/>
      </c>
      <c r="J84" s="954" t="str">
        <f>IF(F84="","",VLOOKUP(F84,'10. Condition and Temporal'!$B$6:$F$103,5,FALSE))</f>
        <v/>
      </c>
      <c r="K84" s="955"/>
      <c r="L84" s="294" t="str">
        <f t="shared" si="46"/>
        <v/>
      </c>
      <c r="M84" s="948" t="str">
        <f t="shared" si="47"/>
        <v/>
      </c>
      <c r="N84" s="949"/>
      <c r="O84" s="74"/>
      <c r="P84" s="12"/>
      <c r="R84" s="652"/>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2" thickBot="1" x14ac:dyDescent="0.35">
      <c r="B85" s="265">
        <v>20</v>
      </c>
      <c r="C85" s="138" t="str">
        <f t="shared" si="13"/>
        <v/>
      </c>
      <c r="D85" s="420" t="str">
        <f t="shared" si="44"/>
        <v/>
      </c>
      <c r="E85" s="167" t="str">
        <f t="shared" si="14"/>
        <v/>
      </c>
      <c r="F85" s="674"/>
      <c r="G85" s="675"/>
      <c r="H85" s="164" t="str">
        <f t="shared" si="15"/>
        <v/>
      </c>
      <c r="I85" s="424" t="str">
        <f t="shared" si="45"/>
        <v/>
      </c>
      <c r="J85" s="956" t="str">
        <f>IF(F85="","",VLOOKUP(F85,'10. Condition and Temporal'!$B$6:$F$103,5,FALSE))</f>
        <v/>
      </c>
      <c r="K85" s="957"/>
      <c r="L85" s="292" t="str">
        <f t="shared" si="46"/>
        <v/>
      </c>
      <c r="M85" s="945" t="str">
        <f t="shared" si="47"/>
        <v/>
      </c>
      <c r="N85" s="946"/>
      <c r="O85" s="75"/>
      <c r="P85" s="14"/>
      <c r="R85" s="652"/>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 thickBot="1" x14ac:dyDescent="0.35">
      <c r="H86" s="268" t="s">
        <v>227</v>
      </c>
      <c r="I86" s="322">
        <f>SUM(I66:I85)</f>
        <v>0</v>
      </c>
      <c r="J86" s="414"/>
      <c r="L86" s="422">
        <f>SUM(L66:L85)</f>
        <v>0</v>
      </c>
      <c r="M86" s="696">
        <f>SUM(M66:N85)</f>
        <v>0</v>
      </c>
      <c r="N86" s="697"/>
      <c r="R86" s="652"/>
      <c r="AJ86" s="157"/>
      <c r="AK86" s="157"/>
      <c r="AL86" s="157"/>
      <c r="AM86" s="157"/>
      <c r="AN86" s="157"/>
    </row>
    <row r="87" spans="1:76" s="25" customFormat="1" x14ac:dyDescent="0.3">
      <c r="C87" s="26"/>
      <c r="R87" s="652"/>
      <c r="AJ87" s="157"/>
      <c r="AK87" s="157"/>
      <c r="AL87" s="157"/>
      <c r="AM87" s="157"/>
      <c r="AN87" s="157"/>
    </row>
    <row r="88" spans="1:76" s="25" customFormat="1" x14ac:dyDescent="0.3">
      <c r="R88" s="652"/>
      <c r="AJ88" s="157"/>
      <c r="AK88" s="157"/>
      <c r="AL88" s="157"/>
      <c r="AM88" s="157"/>
      <c r="AN88" s="157"/>
    </row>
    <row r="89" spans="1:76" s="25" customFormat="1" ht="19.2" customHeight="1" x14ac:dyDescent="0.3">
      <c r="R89" s="652"/>
      <c r="AJ89" s="157"/>
      <c r="AK89" s="157"/>
      <c r="AL89" s="157"/>
      <c r="AM89" s="157"/>
      <c r="AN89" s="157"/>
    </row>
    <row r="90" spans="1:76" s="25" customFormat="1" x14ac:dyDescent="0.3">
      <c r="R90" s="652"/>
      <c r="AJ90" s="157"/>
      <c r="AK90" s="157"/>
      <c r="AL90" s="157"/>
      <c r="AM90" s="157"/>
      <c r="AN90" s="157"/>
    </row>
    <row r="91" spans="1:76" s="25" customFormat="1" x14ac:dyDescent="0.3">
      <c r="A91" s="730" t="s">
        <v>191</v>
      </c>
      <c r="B91" s="730"/>
      <c r="C91" s="730"/>
      <c r="D91" s="730"/>
      <c r="E91" s="730"/>
      <c r="F91" s="730"/>
      <c r="G91" s="730"/>
      <c r="H91" s="730"/>
      <c r="I91" s="730"/>
      <c r="J91" s="730"/>
      <c r="K91" s="730"/>
      <c r="L91" s="730"/>
      <c r="M91" s="730"/>
      <c r="N91" s="730"/>
      <c r="O91" s="730"/>
      <c r="P91" s="730"/>
      <c r="Q91" s="730"/>
      <c r="R91" s="652"/>
      <c r="AJ91" s="157"/>
      <c r="AK91" s="157"/>
      <c r="AL91" s="157"/>
      <c r="AM91" s="157"/>
      <c r="AN91" s="157"/>
    </row>
    <row r="92" spans="1:76" s="25" customFormat="1" x14ac:dyDescent="0.3">
      <c r="A92" s="730"/>
      <c r="B92" s="730"/>
      <c r="C92" s="730"/>
      <c r="D92" s="730"/>
      <c r="E92" s="730"/>
      <c r="F92" s="730"/>
      <c r="G92" s="730"/>
      <c r="H92" s="730"/>
      <c r="I92" s="730"/>
      <c r="J92" s="730"/>
      <c r="K92" s="730"/>
      <c r="L92" s="730"/>
      <c r="M92" s="730"/>
      <c r="N92" s="730"/>
      <c r="O92" s="730"/>
      <c r="P92" s="730"/>
      <c r="Q92" s="730"/>
      <c r="R92" s="652"/>
      <c r="AJ92" s="157"/>
      <c r="AK92" s="157"/>
      <c r="AL92" s="157"/>
      <c r="AM92" s="157"/>
      <c r="AN92" s="157"/>
    </row>
    <row r="93" spans="1:76" s="25" customFormat="1" x14ac:dyDescent="0.3">
      <c r="A93" s="730"/>
      <c r="B93" s="730"/>
      <c r="C93" s="730"/>
      <c r="D93" s="730"/>
      <c r="E93" s="730"/>
      <c r="F93" s="730"/>
      <c r="G93" s="730"/>
      <c r="H93" s="730"/>
      <c r="I93" s="730"/>
      <c r="J93" s="730"/>
      <c r="K93" s="730"/>
      <c r="L93" s="730"/>
      <c r="M93" s="730"/>
      <c r="N93" s="730"/>
      <c r="O93" s="730"/>
      <c r="P93" s="730"/>
      <c r="Q93" s="730"/>
      <c r="R93" s="652"/>
      <c r="AJ93" s="157"/>
      <c r="AK93" s="157"/>
      <c r="AL93" s="157"/>
      <c r="AM93" s="157"/>
      <c r="AN93" s="157"/>
    </row>
    <row r="94" spans="1:76" s="25" customFormat="1" x14ac:dyDescent="0.3">
      <c r="R94" s="652"/>
      <c r="AJ94" s="157"/>
      <c r="AK94" s="157"/>
      <c r="AL94" s="157"/>
      <c r="AM94" s="157"/>
      <c r="AN94" s="157"/>
    </row>
    <row r="95" spans="1:76" s="25" customFormat="1" ht="21" x14ac:dyDescent="0.4">
      <c r="C95" s="57" t="s">
        <v>192</v>
      </c>
      <c r="D95" s="26"/>
      <c r="E95" s="26"/>
      <c r="F95" s="26"/>
      <c r="G95" s="26"/>
      <c r="R95" s="652"/>
      <c r="AJ95" s="157"/>
      <c r="AK95" s="157"/>
      <c r="AL95" s="157"/>
      <c r="AM95" s="157"/>
      <c r="AN95" s="157"/>
    </row>
    <row r="96" spans="1:76" s="25" customFormat="1" ht="15" thickBot="1" x14ac:dyDescent="0.35">
      <c r="R96" s="652"/>
      <c r="AJ96" s="157"/>
      <c r="AK96" s="157"/>
      <c r="AL96" s="157"/>
      <c r="AM96" s="157"/>
      <c r="AN96" s="157"/>
    </row>
    <row r="97" spans="3:40" s="25" customFormat="1" ht="36.6" customHeight="1" thickBot="1" x14ac:dyDescent="0.35">
      <c r="C97" s="870" t="s">
        <v>232</v>
      </c>
      <c r="D97" s="872"/>
      <c r="E97" s="873" t="str" cm="1">
        <f t="array" aca="1" ref="E97" ca="1">IF(OR(I103:I106="No ▲"),"Error - Trading Rules Not Satisfied ▲","Trading Rules Satisfied ✓")</f>
        <v>Trading Rules Satisfied ✓</v>
      </c>
      <c r="F97" s="873"/>
      <c r="G97" s="873"/>
      <c r="H97" s="873"/>
      <c r="I97" s="874"/>
      <c r="J97" s="157">
        <f ca="1">IFERROR(FIND("Error",E97),0)</f>
        <v>0</v>
      </c>
      <c r="R97" s="652"/>
      <c r="AJ97" s="157"/>
      <c r="AK97" s="157"/>
      <c r="AL97" s="157"/>
      <c r="AM97" s="157"/>
      <c r="AN97" s="157"/>
    </row>
    <row r="98" spans="3:40" s="25" customFormat="1" x14ac:dyDescent="0.3">
      <c r="R98" s="652"/>
      <c r="AJ98" s="157"/>
      <c r="AK98" s="157"/>
      <c r="AL98" s="157"/>
      <c r="AM98" s="157"/>
      <c r="AN98" s="157"/>
    </row>
    <row r="99" spans="3:40" s="25" customFormat="1" ht="21" x14ac:dyDescent="0.4">
      <c r="C99" s="57" t="s">
        <v>195</v>
      </c>
      <c r="R99" s="652"/>
      <c r="AJ99" s="157"/>
      <c r="AK99" s="157"/>
      <c r="AL99" s="157"/>
      <c r="AM99" s="157"/>
      <c r="AN99" s="157"/>
    </row>
    <row r="100" spans="3:40" s="25" customFormat="1" x14ac:dyDescent="0.3">
      <c r="R100" s="652"/>
      <c r="AJ100" s="157"/>
      <c r="AK100" s="157"/>
      <c r="AL100" s="157"/>
      <c r="AM100" s="157"/>
      <c r="AN100" s="157"/>
    </row>
    <row r="101" spans="3:40" s="25" customFormat="1" ht="15" thickBot="1" x14ac:dyDescent="0.35">
      <c r="J101" s="430"/>
      <c r="R101" s="652"/>
      <c r="AJ101" s="157"/>
      <c r="AK101" s="157"/>
      <c r="AL101" s="157"/>
      <c r="AM101" s="157"/>
      <c r="AN101" s="157"/>
    </row>
    <row r="102" spans="3:40" s="25" customFormat="1" ht="40.5" customHeight="1" thickBot="1" x14ac:dyDescent="0.35">
      <c r="C102" s="450" t="s">
        <v>133</v>
      </c>
      <c r="D102" s="440" t="s">
        <v>85</v>
      </c>
      <c r="E102" s="440" t="s">
        <v>258</v>
      </c>
      <c r="F102" s="440" t="s">
        <v>198</v>
      </c>
      <c r="G102" s="440" t="s">
        <v>199</v>
      </c>
      <c r="H102" s="440" t="s">
        <v>200</v>
      </c>
      <c r="I102" s="441" t="s">
        <v>201</v>
      </c>
      <c r="J102" s="431"/>
      <c r="R102" s="652"/>
      <c r="AJ102" s="157"/>
      <c r="AK102" s="157"/>
      <c r="AL102" s="157"/>
      <c r="AM102" s="157"/>
      <c r="AN102" s="157"/>
    </row>
    <row r="103" spans="3:40" s="25" customFormat="1" ht="30" customHeight="1" x14ac:dyDescent="0.3">
      <c r="C103" s="975" t="s">
        <v>252</v>
      </c>
      <c r="D103" s="923" t="s">
        <v>215</v>
      </c>
      <c r="E103" s="442" t="s">
        <v>259</v>
      </c>
      <c r="F103" s="443">
        <f ca="1">SUMIF($D$11:$E$30, $E$103, $L$11:$L$30)</f>
        <v>0</v>
      </c>
      <c r="G103" s="443">
        <f>IF($I$59+$I$86+$P$1=0,0,SUMIF($D$39:$D$58,$E$103,$L$39:$N$58)+SUMIF($F$66:$G$85,$E$103,$L$66:$L$85)+SUMIF($D$11:$E$30,$E$103,$AE$11:$AE$30))</f>
        <v>0</v>
      </c>
      <c r="H103" s="443">
        <f ca="1">$G$103-$F$103</f>
        <v>0</v>
      </c>
      <c r="I103" s="854" t="str">
        <f ca="1">IF(AND($H$103&gt;=0, H104&gt;=0),"Yes ✓", "No ▲")</f>
        <v>Yes ✓</v>
      </c>
      <c r="J103" s="431"/>
      <c r="R103" s="652"/>
      <c r="AJ103" s="157"/>
      <c r="AK103" s="157"/>
      <c r="AL103" s="157"/>
      <c r="AM103" s="157"/>
      <c r="AN103" s="157"/>
    </row>
    <row r="104" spans="3:40" s="25" customFormat="1" ht="30" customHeight="1" x14ac:dyDescent="0.3">
      <c r="C104" s="976"/>
      <c r="D104" s="914"/>
      <c r="E104" s="428" t="s">
        <v>260</v>
      </c>
      <c r="F104" s="429">
        <f ca="1">SUMIF($D$11:$E$30,$E$104,$L$11:$L$30)</f>
        <v>0</v>
      </c>
      <c r="G104" s="429">
        <f>IF($I$59+$I$86+$P$1=0,0,SUMIF($D$39:$D$58,$E$104,$L$39:$N$58)+SUMIF($F$66:$G$85,$E$104,$L$66:$L$85)+SUMIF($D$11:$E$30,$E$104,$AE$11:$AE$30))</f>
        <v>0</v>
      </c>
      <c r="H104" s="429">
        <f ca="1">$G$104-$F$104</f>
        <v>0</v>
      </c>
      <c r="I104" s="855"/>
      <c r="J104" s="431"/>
      <c r="R104" s="652"/>
      <c r="AJ104" s="157"/>
      <c r="AK104" s="157"/>
      <c r="AL104" s="157"/>
      <c r="AM104" s="157"/>
      <c r="AN104" s="157"/>
    </row>
    <row r="105" spans="3:40" s="25" customFormat="1" ht="30" customHeight="1" thickBot="1" x14ac:dyDescent="0.35">
      <c r="C105" s="976"/>
      <c r="D105" s="916"/>
      <c r="E105" s="444" t="s">
        <v>238</v>
      </c>
      <c r="F105" s="445">
        <f ca="1">SUM(F103:F104)</f>
        <v>0</v>
      </c>
      <c r="G105" s="445">
        <f>SUM(G103:G104)</f>
        <v>0</v>
      </c>
      <c r="H105" s="445">
        <f ca="1">SUM($H$103:$H$104)</f>
        <v>0</v>
      </c>
      <c r="I105" s="856"/>
      <c r="J105" s="157">
        <f ca="1">IF($I$103= "No ▲",1,0)</f>
        <v>0</v>
      </c>
      <c r="R105" s="652"/>
      <c r="AJ105" s="157"/>
      <c r="AK105" s="157"/>
      <c r="AL105" s="157"/>
      <c r="AM105" s="157"/>
      <c r="AN105" s="157"/>
    </row>
    <row r="106" spans="3:40" s="25" customFormat="1" ht="30" customHeight="1" thickBot="1" x14ac:dyDescent="0.35">
      <c r="C106" s="977"/>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2"/>
      <c r="AJ106" s="157"/>
      <c r="AK106" s="157"/>
      <c r="AL106" s="157"/>
      <c r="AM106" s="157"/>
      <c r="AN106" s="157"/>
    </row>
    <row r="107" spans="3:40" s="25" customFormat="1" ht="12" customHeight="1" thickBot="1" x14ac:dyDescent="0.35">
      <c r="G107" s="434">
        <f ca="1">IF(H105&gt;0,($H$105+$H$106),H106)</f>
        <v>0</v>
      </c>
      <c r="J107" s="430"/>
      <c r="R107" s="652"/>
      <c r="AJ107" s="157"/>
      <c r="AK107" s="157"/>
      <c r="AL107" s="157"/>
      <c r="AM107" s="157"/>
      <c r="AN107" s="157"/>
    </row>
    <row r="108" spans="3:40" s="25" customFormat="1" ht="18" x14ac:dyDescent="0.35">
      <c r="C108" s="826" t="s">
        <v>262</v>
      </c>
      <c r="D108" s="974"/>
      <c r="E108" s="974"/>
      <c r="F108" s="974"/>
      <c r="G108" s="437">
        <f ca="1">$H$105</f>
        <v>0</v>
      </c>
      <c r="H108" s="431"/>
      <c r="J108" s="430"/>
      <c r="R108" s="652"/>
      <c r="AJ108" s="157"/>
      <c r="AK108" s="157"/>
      <c r="AL108" s="157"/>
      <c r="AM108" s="157"/>
      <c r="AN108" s="157"/>
    </row>
    <row r="109" spans="3:40" s="25" customFormat="1" ht="18.600000000000001" thickBot="1" x14ac:dyDescent="0.35">
      <c r="C109" s="916" t="s">
        <v>263</v>
      </c>
      <c r="D109" s="634"/>
      <c r="E109" s="634"/>
      <c r="F109" s="634"/>
      <c r="G109" s="438">
        <f ca="1">IF($H$105&lt;=0,$H$106,($H$106+$H$105))</f>
        <v>0</v>
      </c>
      <c r="R109" s="652"/>
      <c r="AJ109" s="157"/>
      <c r="AK109" s="157"/>
      <c r="AL109" s="157"/>
      <c r="AM109" s="157"/>
      <c r="AN109" s="157"/>
    </row>
    <row r="110" spans="3:40" s="25" customFormat="1" x14ac:dyDescent="0.3">
      <c r="R110" s="652"/>
      <c r="AJ110" s="157"/>
      <c r="AK110" s="157"/>
      <c r="AL110" s="157"/>
      <c r="AM110" s="157"/>
      <c r="AN110" s="157"/>
    </row>
    <row r="111" spans="3:40" s="25" customFormat="1" x14ac:dyDescent="0.3">
      <c r="R111" s="652"/>
      <c r="AJ111" s="157"/>
      <c r="AK111" s="157"/>
      <c r="AL111" s="157"/>
      <c r="AM111" s="157"/>
      <c r="AN111" s="157"/>
    </row>
    <row r="112" spans="3:40" s="25" customFormat="1" x14ac:dyDescent="0.3">
      <c r="R112" s="652"/>
      <c r="AJ112" s="157"/>
      <c r="AK112" s="157"/>
      <c r="AL112" s="157"/>
      <c r="AM112" s="157"/>
      <c r="AN112" s="157"/>
    </row>
    <row r="113" spans="18:40" s="25" customFormat="1" x14ac:dyDescent="0.3">
      <c r="R113" s="652"/>
      <c r="AJ113" s="157"/>
      <c r="AK113" s="157"/>
      <c r="AL113" s="157"/>
      <c r="AM113" s="157"/>
      <c r="AN113" s="157"/>
    </row>
    <row r="114" spans="18:40" s="25" customFormat="1" x14ac:dyDescent="0.3">
      <c r="R114" s="652"/>
      <c r="AJ114" s="157"/>
      <c r="AK114" s="157"/>
      <c r="AL114" s="157"/>
      <c r="AM114" s="157"/>
      <c r="AN114" s="157"/>
    </row>
    <row r="115" spans="18:40" s="25" customFormat="1" x14ac:dyDescent="0.3">
      <c r="R115" s="652"/>
      <c r="AJ115" s="157"/>
      <c r="AK115" s="157"/>
      <c r="AL115" s="157"/>
      <c r="AM115" s="157"/>
      <c r="AN115" s="157"/>
    </row>
    <row r="116" spans="18:40" s="25" customFormat="1" x14ac:dyDescent="0.3">
      <c r="R116" s="652"/>
      <c r="AJ116" s="157"/>
      <c r="AK116" s="157"/>
      <c r="AL116" s="157"/>
      <c r="AM116" s="157"/>
      <c r="AN116" s="157"/>
    </row>
    <row r="117" spans="18:40" s="25" customFormat="1" x14ac:dyDescent="0.3">
      <c r="R117" s="652"/>
      <c r="AJ117" s="157"/>
      <c r="AK117" s="157"/>
      <c r="AL117" s="157"/>
      <c r="AM117" s="157"/>
      <c r="AN117" s="157"/>
    </row>
    <row r="118" spans="18:40" s="25" customFormat="1" x14ac:dyDescent="0.3">
      <c r="R118" s="652"/>
      <c r="AJ118" s="157"/>
      <c r="AK118" s="157"/>
      <c r="AL118" s="157"/>
      <c r="AM118" s="157"/>
      <c r="AN118" s="157"/>
    </row>
    <row r="119" spans="18:40" s="25" customFormat="1" x14ac:dyDescent="0.3">
      <c r="R119" s="652"/>
      <c r="AJ119" s="157"/>
      <c r="AK119" s="157"/>
      <c r="AL119" s="157"/>
      <c r="AM119" s="157"/>
      <c r="AN119" s="157"/>
    </row>
    <row r="120" spans="18:40" s="25" customFormat="1" x14ac:dyDescent="0.3">
      <c r="R120" s="652"/>
      <c r="AJ120" s="157"/>
      <c r="AK120" s="157"/>
      <c r="AL120" s="157"/>
      <c r="AM120" s="157"/>
      <c r="AN120" s="157"/>
    </row>
    <row r="121" spans="18:40" s="25" customFormat="1" x14ac:dyDescent="0.3">
      <c r="R121" s="652"/>
      <c r="AJ121" s="157"/>
      <c r="AK121" s="157"/>
      <c r="AL121" s="157"/>
      <c r="AM121" s="157"/>
      <c r="AN121" s="157"/>
    </row>
    <row r="122" spans="18:40" s="25" customFormat="1" x14ac:dyDescent="0.3">
      <c r="R122" s="652"/>
      <c r="AJ122" s="157"/>
      <c r="AK122" s="157"/>
      <c r="AL122" s="157"/>
      <c r="AM122" s="157"/>
      <c r="AN122" s="157"/>
    </row>
    <row r="123" spans="18:40" s="25" customFormat="1" x14ac:dyDescent="0.3">
      <c r="R123" s="652"/>
      <c r="AJ123" s="157"/>
      <c r="AK123" s="157"/>
      <c r="AL123" s="157"/>
      <c r="AM123" s="157"/>
      <c r="AN123" s="157"/>
    </row>
    <row r="124" spans="18:40" s="25" customFormat="1" x14ac:dyDescent="0.3">
      <c r="R124" s="652"/>
      <c r="AJ124" s="157"/>
      <c r="AK124" s="157"/>
      <c r="AL124" s="157"/>
      <c r="AM124" s="157"/>
      <c r="AN124" s="157"/>
    </row>
    <row r="125" spans="18:40" s="25" customFormat="1" x14ac:dyDescent="0.3">
      <c r="R125" s="652"/>
      <c r="AJ125" s="157"/>
      <c r="AK125" s="157"/>
      <c r="AL125" s="157"/>
      <c r="AM125" s="157"/>
      <c r="AN125" s="157"/>
    </row>
    <row r="126" spans="18:40" s="25" customFormat="1" x14ac:dyDescent="0.3">
      <c r="R126" s="652"/>
      <c r="AJ126" s="157"/>
      <c r="AK126" s="157"/>
      <c r="AL126" s="157"/>
      <c r="AM126" s="157"/>
      <c r="AN126" s="157"/>
    </row>
    <row r="127" spans="18:40" s="25" customFormat="1" x14ac:dyDescent="0.3">
      <c r="R127" s="652"/>
      <c r="AJ127" s="157"/>
      <c r="AK127" s="157"/>
      <c r="AL127" s="157"/>
      <c r="AM127" s="157"/>
      <c r="AN127" s="157"/>
    </row>
    <row r="128" spans="18:40" s="25" customFormat="1" x14ac:dyDescent="0.3">
      <c r="R128" s="652"/>
      <c r="AJ128" s="157"/>
      <c r="AK128" s="157"/>
      <c r="AL128" s="157"/>
      <c r="AM128" s="157"/>
      <c r="AN128" s="157"/>
    </row>
    <row r="129" spans="18:40" s="25" customFormat="1" x14ac:dyDescent="0.3">
      <c r="R129" s="652"/>
      <c r="AJ129" s="157"/>
      <c r="AK129" s="157"/>
      <c r="AL129" s="157"/>
      <c r="AM129" s="157"/>
      <c r="AN129" s="157"/>
    </row>
    <row r="130" spans="18:40" s="25" customFormat="1" x14ac:dyDescent="0.3">
      <c r="R130" s="652"/>
      <c r="AJ130" s="157"/>
      <c r="AK130" s="157"/>
      <c r="AL130" s="157"/>
      <c r="AM130" s="157"/>
      <c r="AN130" s="157"/>
    </row>
    <row r="131" spans="18:40" x14ac:dyDescent="0.3"/>
    <row r="132" spans="18:40" x14ac:dyDescent="0.3"/>
    <row r="133" spans="18:40" x14ac:dyDescent="0.3"/>
    <row r="134" spans="18:40" x14ac:dyDescent="0.3"/>
    <row r="135" spans="18:40" x14ac:dyDescent="0.3"/>
    <row r="136" spans="18:40" x14ac:dyDescent="0.3"/>
    <row r="137" spans="18:40" x14ac:dyDescent="0.3"/>
    <row r="138" spans="18:40" x14ac:dyDescent="0.3"/>
    <row r="139" spans="18:40" x14ac:dyDescent="0.3"/>
    <row r="140" spans="18:40" x14ac:dyDescent="0.3"/>
  </sheetData>
  <sheetProtection algorithmName="SHA-512" hashValue="7HLOq8XY9RtwIsu9pKITXtzaQIkQskpS6tcsZ2zCm6OVJoyAyiRkR2xiJp8Xa5RHWgDMsUw1fQYkWK8oO9QE9Q==" saltValue="AuX3pbM0XTjmrHH9XTgd6Q=="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6" zeroHeight="1" x14ac:dyDescent="0.3"/>
  <cols>
    <col min="1" max="1" width="14.21875" customWidth="1"/>
    <col min="2" max="2" width="30.5546875" customWidth="1"/>
    <col min="3" max="3" width="45.21875" customWidth="1"/>
    <col min="4" max="4" width="76.44140625" customWidth="1"/>
    <col min="5" max="5" width="13" bestFit="1" customWidth="1"/>
    <col min="6" max="6" width="19.5546875" style="495" customWidth="1"/>
    <col min="7" max="7" width="29.21875" hidden="1" customWidth="1"/>
    <col min="8" max="9" width="10.7773437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16384" width="8.77734375" hidden="1"/>
  </cols>
  <sheetData>
    <row r="1" spans="1:24" ht="16.2" thickBot="1" x14ac:dyDescent="0.35">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x14ac:dyDescent="0.35">
      <c r="A2" s="25"/>
      <c r="B2" s="646" t="s">
        <v>56</v>
      </c>
      <c r="C2" s="647"/>
      <c r="D2" s="636" t="str">
        <f>IF('2. Site Details'!D4="","Enter site name on 2. Site Details",'2. Site Details'!D4)</f>
        <v>Enter site name on 2. Site Details</v>
      </c>
      <c r="E2" s="637"/>
      <c r="F2" s="497"/>
      <c r="G2" s="52"/>
      <c r="H2" s="52"/>
      <c r="I2" s="52"/>
      <c r="J2" s="52"/>
      <c r="K2" s="52"/>
      <c r="L2" s="52"/>
      <c r="M2" s="52"/>
      <c r="N2" s="52"/>
      <c r="O2" s="52"/>
      <c r="P2" s="52"/>
      <c r="Q2" s="52"/>
      <c r="R2" s="52"/>
      <c r="S2" s="52"/>
      <c r="T2" s="52"/>
      <c r="U2" s="52"/>
      <c r="V2" s="52"/>
      <c r="W2" s="52"/>
      <c r="X2" s="25"/>
    </row>
    <row r="3" spans="1:24" ht="24.6" customHeight="1" thickBot="1" x14ac:dyDescent="0.4">
      <c r="A3" s="25"/>
      <c r="B3" s="644" t="s">
        <v>13</v>
      </c>
      <c r="C3" s="645"/>
      <c r="D3" s="634" t="s">
        <v>264</v>
      </c>
      <c r="E3" s="635"/>
      <c r="F3" s="491"/>
      <c r="G3" s="52"/>
      <c r="H3" s="992"/>
      <c r="I3" s="992"/>
      <c r="J3" s="992"/>
      <c r="K3" s="992"/>
      <c r="L3" s="992"/>
      <c r="M3" s="992"/>
      <c r="N3" s="992"/>
      <c r="O3" s="992"/>
      <c r="P3" s="52"/>
      <c r="Q3" s="52"/>
      <c r="R3" s="52"/>
      <c r="S3" s="52"/>
      <c r="T3" s="52"/>
      <c r="U3" s="52"/>
      <c r="V3" s="52"/>
      <c r="W3" s="52"/>
      <c r="X3" s="25"/>
    </row>
    <row r="4" spans="1:24" ht="34.200000000000003" customHeight="1" thickBot="1" x14ac:dyDescent="0.35">
      <c r="A4" s="25"/>
      <c r="B4" s="56" t="s">
        <v>264</v>
      </c>
      <c r="C4" s="25"/>
      <c r="D4" s="25"/>
      <c r="E4" s="25"/>
      <c r="F4" s="491"/>
      <c r="G4" s="52"/>
      <c r="H4" s="52"/>
      <c r="I4" s="52"/>
      <c r="J4" s="52"/>
      <c r="K4" s="52"/>
      <c r="L4" s="52"/>
      <c r="M4" s="52"/>
      <c r="N4" s="52"/>
      <c r="O4" s="52"/>
      <c r="P4" s="52"/>
      <c r="Q4" s="52"/>
      <c r="R4" s="52"/>
      <c r="S4" s="52"/>
      <c r="T4" s="52"/>
      <c r="U4" s="52"/>
      <c r="V4" s="52"/>
      <c r="W4" s="52"/>
      <c r="X4" s="25"/>
    </row>
    <row r="5" spans="1:24" ht="24.6" customHeight="1" thickBot="1" x14ac:dyDescent="0.35">
      <c r="A5" s="25"/>
      <c r="B5" s="630" t="s">
        <v>265</v>
      </c>
      <c r="C5" s="1001"/>
      <c r="D5" s="987" t="str">
        <f>IF(OR(D27&gt;0,D28&gt;0,D29&gt;0),"BNG Targets Not Met ▲","BNG Targets Met ✓")</f>
        <v>BNG Targets Met ✓</v>
      </c>
      <c r="E5" s="874"/>
      <c r="F5" s="491"/>
      <c r="G5" s="52"/>
      <c r="H5" s="52"/>
      <c r="I5" s="52"/>
      <c r="J5" s="52"/>
      <c r="K5" s="52"/>
      <c r="L5" s="52"/>
      <c r="M5" s="52"/>
      <c r="N5" s="52"/>
      <c r="O5" s="52"/>
      <c r="P5" s="52"/>
      <c r="Q5" s="52"/>
      <c r="R5" s="52"/>
      <c r="S5" s="52"/>
      <c r="T5" s="52"/>
      <c r="U5" s="52"/>
      <c r="V5" s="52"/>
      <c r="W5" s="52"/>
      <c r="X5" s="25"/>
    </row>
    <row r="6" spans="1:24" ht="24.6" customHeight="1" thickBot="1" x14ac:dyDescent="0.4">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x14ac:dyDescent="0.35">
      <c r="A7" s="25"/>
      <c r="B7" s="630" t="s">
        <v>266</v>
      </c>
      <c r="C7" s="631"/>
      <c r="D7" s="984" t="str">
        <f ca="1">IF('5. Area Habitats'!J108+'5. Area Habitats'!J109+'6. Hedges &amp; Lines of Trees'!J97+'7. Watercourses'!J97&gt;0,"Trading Rules Not Satisfied ▲","Trading Rules Satisfied ✓")</f>
        <v>Trading Rules Satisfied ✓</v>
      </c>
      <c r="E7" s="985"/>
      <c r="F7" s="498"/>
      <c r="G7" s="383"/>
      <c r="H7" s="384"/>
      <c r="I7" s="385"/>
      <c r="J7" s="52"/>
      <c r="K7" s="52"/>
      <c r="L7" s="52"/>
      <c r="M7" s="52"/>
      <c r="N7" s="52"/>
      <c r="O7" s="52"/>
      <c r="P7" s="52"/>
      <c r="Q7" s="52"/>
      <c r="R7" s="52"/>
      <c r="S7" s="52"/>
      <c r="T7" s="52"/>
      <c r="U7" s="52"/>
      <c r="V7" s="52"/>
      <c r="W7" s="52"/>
      <c r="X7" s="25"/>
    </row>
    <row r="8" spans="1:24" ht="24.6" customHeight="1" thickBot="1" x14ac:dyDescent="0.4">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x14ac:dyDescent="0.35">
      <c r="A9" s="25"/>
      <c r="B9" s="630" t="s">
        <v>267</v>
      </c>
      <c r="C9" s="1001"/>
      <c r="D9" s="988" t="str">
        <f ca="1">IF(OR(D5="BNG Targets Not Met ▲",D7="Trading Rules Not Satisfied ▲"),"Scheme alterations or offsite units required","Check for input errors/rule breaks present in the metric ⚠")</f>
        <v>Check for input errors/rule breaks present in the metric ⚠</v>
      </c>
      <c r="E9" s="989"/>
      <c r="F9" s="491"/>
      <c r="G9" s="29"/>
      <c r="H9" s="29"/>
      <c r="I9" s="29"/>
      <c r="J9" s="29"/>
      <c r="K9" s="29"/>
      <c r="L9" s="29"/>
      <c r="M9" s="29"/>
      <c r="N9" s="29"/>
      <c r="O9" s="29"/>
      <c r="P9" s="29"/>
      <c r="Q9" s="54"/>
      <c r="R9" s="29"/>
      <c r="S9" s="52"/>
      <c r="T9" s="52"/>
      <c r="U9" s="52"/>
      <c r="V9" s="52"/>
      <c r="W9" s="52"/>
      <c r="X9" s="25"/>
    </row>
    <row r="10" spans="1:24" ht="43.5" customHeight="1" thickBot="1" x14ac:dyDescent="0.35">
      <c r="A10" s="25"/>
      <c r="B10" s="25"/>
      <c r="C10" s="25"/>
      <c r="D10" s="986"/>
      <c r="E10" s="986"/>
      <c r="F10" s="491" t="s">
        <v>268</v>
      </c>
      <c r="G10" s="29"/>
      <c r="H10" s="29"/>
      <c r="I10" s="29"/>
      <c r="J10" s="29"/>
      <c r="K10" s="29"/>
      <c r="L10" s="29"/>
      <c r="M10" s="29"/>
      <c r="N10" s="29"/>
      <c r="O10" s="29"/>
      <c r="P10" s="29"/>
      <c r="Q10" s="54"/>
      <c r="R10" s="29"/>
      <c r="S10" s="52"/>
      <c r="T10" s="52"/>
      <c r="U10" s="52"/>
      <c r="V10" s="52"/>
      <c r="W10" s="52"/>
      <c r="X10" s="25"/>
    </row>
    <row r="11" spans="1:24" ht="24.6" customHeight="1" x14ac:dyDescent="0.3">
      <c r="A11" s="25"/>
      <c r="B11" s="981" t="s">
        <v>269</v>
      </c>
      <c r="C11" s="273" t="s">
        <v>270</v>
      </c>
      <c r="D11" s="484" t="str">
        <f>IF('5. Area Habitats'!L32=0,"Zero Units Baseline",'5. Area Habitats'!L32)</f>
        <v>Zero Units Baseline</v>
      </c>
      <c r="E11" s="485"/>
      <c r="F11" s="491" t="e">
        <f>('2. Site Details'!$D$13/100)*$D$11</f>
        <v>#VALUE!</v>
      </c>
      <c r="G11" s="379"/>
      <c r="H11" s="29"/>
      <c r="I11" s="29"/>
      <c r="J11" s="29"/>
      <c r="K11" s="29"/>
      <c r="L11" s="29"/>
      <c r="M11" s="29"/>
      <c r="N11" s="29"/>
      <c r="O11" s="29"/>
      <c r="P11" s="29"/>
      <c r="Q11" s="54"/>
      <c r="R11" s="29"/>
      <c r="S11" s="52"/>
      <c r="T11" s="52"/>
      <c r="U11" s="52"/>
      <c r="V11" s="52"/>
      <c r="W11" s="52"/>
      <c r="X11" s="25"/>
    </row>
    <row r="12" spans="1:24" ht="24.6" customHeight="1" x14ac:dyDescent="0.3">
      <c r="A12" s="25"/>
      <c r="B12" s="982"/>
      <c r="C12" s="274" t="s">
        <v>271</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x14ac:dyDescent="0.35">
      <c r="A13" s="25"/>
      <c r="B13" s="983"/>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x14ac:dyDescent="0.4">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6" customHeight="1" x14ac:dyDescent="0.3">
      <c r="A15" s="25"/>
      <c r="B15" s="981" t="s">
        <v>274</v>
      </c>
      <c r="C15" s="273" t="s">
        <v>270</v>
      </c>
      <c r="D15" s="484">
        <f>'5. Area Habitats'!P3+'5. Area Habitats'!P4+'5. Area Habitats'!P1</f>
        <v>0</v>
      </c>
      <c r="E15" s="485"/>
      <c r="F15" s="492" t="e">
        <f>D11+F11</f>
        <v>#VALUE!</v>
      </c>
      <c r="G15" s="29"/>
      <c r="H15" s="29"/>
      <c r="I15" s="29"/>
      <c r="J15" s="29"/>
      <c r="K15" s="29"/>
      <c r="L15" s="29"/>
      <c r="M15" s="29"/>
      <c r="N15" s="29"/>
      <c r="O15" s="29"/>
      <c r="P15" s="29"/>
      <c r="Q15" s="54"/>
      <c r="R15" s="29"/>
      <c r="S15" s="52"/>
      <c r="T15" s="52"/>
      <c r="U15" s="52"/>
      <c r="V15" s="52"/>
      <c r="W15" s="52"/>
      <c r="X15" s="25"/>
    </row>
    <row r="16" spans="1:24" ht="24.6" customHeight="1" x14ac:dyDescent="0.3">
      <c r="A16" s="25"/>
      <c r="B16" s="982"/>
      <c r="C16" s="274" t="s">
        <v>271</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5">
      <c r="A17" s="25"/>
      <c r="B17" s="983"/>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4">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x14ac:dyDescent="0.3">
      <c r="A19" s="25"/>
      <c r="B19" s="981" t="s">
        <v>275</v>
      </c>
      <c r="C19" s="529" t="s">
        <v>270</v>
      </c>
      <c r="D19" s="534">
        <f>'5. Area Habitats'!P5</f>
        <v>0</v>
      </c>
      <c r="E19" s="535" t="e" cm="1">
        <f t="array" ref="E19">_xlfn.IFS(D19&gt;=F11,"✓",D19&lt;0,"▲", D19&lt;F11,"⚠")</f>
        <v>#VALUE!</v>
      </c>
      <c r="F19" s="493" t="e">
        <f>F11/D11</f>
        <v>#VALUE!</v>
      </c>
      <c r="G19" s="29"/>
      <c r="H19" s="29"/>
      <c r="I19" s="29"/>
      <c r="J19" s="29"/>
      <c r="K19" s="29"/>
      <c r="L19" s="29"/>
      <c r="M19" s="29"/>
      <c r="N19" s="29"/>
      <c r="O19" s="29"/>
      <c r="P19" s="29"/>
      <c r="Q19" s="54"/>
      <c r="R19" s="29"/>
      <c r="S19" s="52"/>
      <c r="T19" s="52"/>
      <c r="U19" s="52"/>
      <c r="V19" s="52"/>
      <c r="W19" s="52"/>
      <c r="X19" s="25"/>
    </row>
    <row r="20" spans="1:24" ht="24.6" customHeight="1" x14ac:dyDescent="0.3">
      <c r="A20" s="25"/>
      <c r="B20" s="982"/>
      <c r="C20" s="530" t="s">
        <v>271</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5">
      <c r="A21" s="25"/>
      <c r="B21" s="983"/>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4">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x14ac:dyDescent="0.3">
      <c r="A23" s="25"/>
      <c r="B23" s="790" t="s">
        <v>276</v>
      </c>
      <c r="C23" s="529" t="s">
        <v>270</v>
      </c>
      <c r="D23" s="538" t="str">
        <f>IF(D11="Zero Units Baseline","% target not appropriate",D19/D11)</f>
        <v>% target not appropriate</v>
      </c>
      <c r="E23" s="539" t="e" cm="1">
        <f t="array" ref="E23">_xlfn.IFS(D23&gt;=F19,"✓",D23&lt;0,"▲", D23&lt;F19,"⚠")</f>
        <v>#VALUE!</v>
      </c>
      <c r="F23" s="491" t="e">
        <f>$D$23*100</f>
        <v>#VALUE!</v>
      </c>
      <c r="G23" s="29"/>
      <c r="H23" s="29"/>
      <c r="I23" s="29"/>
      <c r="J23" s="29"/>
      <c r="K23" s="29"/>
      <c r="L23" s="29"/>
      <c r="M23" s="29"/>
      <c r="N23" s="29"/>
      <c r="O23" s="29"/>
      <c r="P23" s="29"/>
      <c r="Q23" s="54"/>
      <c r="R23" s="29"/>
      <c r="S23" s="52"/>
      <c r="T23" s="52"/>
      <c r="U23" s="52"/>
      <c r="V23" s="52"/>
      <c r="W23" s="52"/>
      <c r="X23" s="25"/>
    </row>
    <row r="24" spans="1:24" ht="24.6" customHeight="1" x14ac:dyDescent="0.3">
      <c r="A24" s="25"/>
      <c r="B24" s="993"/>
      <c r="C24" s="530" t="s">
        <v>271</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5">
      <c r="A25" s="25"/>
      <c r="B25" s="994"/>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4">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x14ac:dyDescent="0.3">
      <c r="A27" s="25"/>
      <c r="B27" s="999" t="s">
        <v>277</v>
      </c>
      <c r="C27" s="1000"/>
      <c r="D27" s="1002">
        <f>IFERROR(IF(D11="Zero Units Baseline",IF('2. Site Details'!D17&lt;=D15,0,'2. Site Details'!D17-D15),(IF((D11*(1+('2. Site Details'!D13/100)))-D15&lt;0,0,F15-D15))),"")</f>
        <v>0</v>
      </c>
      <c r="E27" s="1003"/>
      <c r="F27" s="491"/>
      <c r="G27" s="29"/>
      <c r="H27" s="29"/>
      <c r="I27" s="29"/>
      <c r="J27" s="29"/>
      <c r="K27" s="29"/>
      <c r="L27" s="29"/>
      <c r="M27" s="29"/>
      <c r="N27" s="29"/>
      <c r="O27" s="29"/>
      <c r="P27" s="29"/>
      <c r="Q27" s="54"/>
      <c r="R27" s="29"/>
      <c r="S27" s="52"/>
      <c r="T27" s="52"/>
      <c r="U27" s="52"/>
      <c r="V27" s="52"/>
      <c r="W27" s="52"/>
      <c r="X27" s="25"/>
    </row>
    <row r="28" spans="1:24" ht="24.6" customHeight="1" x14ac:dyDescent="0.3">
      <c r="A28" s="25"/>
      <c r="B28" s="997" t="s">
        <v>278</v>
      </c>
      <c r="C28" s="998"/>
      <c r="D28" s="1004">
        <f>IFERROR(IF(D12="Zero Units Baseline",IF('2. Site Details'!D18&lt;=D16,0,'2. Site Details'!D18-D16),(IF((D12*(1+('2. Site Details'!D14/100)))-D16&lt;0,0,F16-D16))),"")</f>
        <v>0</v>
      </c>
      <c r="E28" s="1005"/>
      <c r="F28" s="491"/>
      <c r="G28" s="159"/>
      <c r="H28" s="29"/>
      <c r="I28" s="29"/>
      <c r="J28" s="29"/>
      <c r="K28" s="29"/>
      <c r="L28" s="29"/>
      <c r="M28" s="29"/>
      <c r="N28" s="29"/>
      <c r="O28" s="29"/>
      <c r="P28" s="29"/>
      <c r="Q28" s="54"/>
      <c r="R28" s="29"/>
      <c r="S28" s="52"/>
      <c r="T28" s="52"/>
      <c r="U28" s="52"/>
      <c r="V28" s="52"/>
      <c r="W28" s="52"/>
      <c r="X28" s="25"/>
    </row>
    <row r="29" spans="1:24" ht="24.6" customHeight="1" thickBot="1" x14ac:dyDescent="0.35">
      <c r="A29" s="25"/>
      <c r="B29" s="995" t="s">
        <v>279</v>
      </c>
      <c r="C29" s="996"/>
      <c r="D29" s="1006">
        <f>IFERROR(IF(D13="Zero Units Baseline",IF('2. Site Details'!D19&lt;=D17,0,'2. Site Details'!D19-D17),(IF((D13*(1+('2. Site Details'!D15/100)))-D17&lt;0,0,F17-D17))),"")</f>
        <v>0</v>
      </c>
      <c r="E29" s="1007"/>
      <c r="F29" s="491"/>
      <c r="G29" s="29"/>
      <c r="H29" s="29"/>
      <c r="I29" s="29"/>
      <c r="J29" s="29"/>
      <c r="K29" s="29"/>
      <c r="L29" s="29"/>
      <c r="M29" s="29"/>
      <c r="N29" s="29"/>
      <c r="O29" s="29"/>
      <c r="P29" s="29"/>
      <c r="Q29" s="54"/>
      <c r="R29" s="29"/>
      <c r="S29" s="52"/>
      <c r="T29" s="52"/>
      <c r="U29" s="52"/>
      <c r="V29" s="52"/>
      <c r="W29" s="52"/>
      <c r="X29" s="25"/>
    </row>
    <row r="30" spans="1:24" ht="10.199999999999999" customHeight="1" x14ac:dyDescent="0.35">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x14ac:dyDescent="0.35">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35">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x14ac:dyDescent="0.35">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x14ac:dyDescent="0.35">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x14ac:dyDescent="0.35">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55" customHeight="1" thickBot="1" x14ac:dyDescent="0.35">
      <c r="A36" s="25"/>
      <c r="B36" s="382" t="s">
        <v>270</v>
      </c>
      <c r="C36" s="51">
        <f>IF(D11="Zero Units Baseline",0,D11)</f>
        <v>0</v>
      </c>
      <c r="D36" s="51">
        <f>D15</f>
        <v>0</v>
      </c>
      <c r="E36" s="52"/>
      <c r="F36" s="491"/>
      <c r="G36" s="25"/>
      <c r="H36" s="25"/>
      <c r="I36" s="25"/>
      <c r="J36" s="25"/>
      <c r="K36" s="25"/>
      <c r="L36" s="25"/>
      <c r="M36" s="25"/>
      <c r="N36" s="25"/>
      <c r="O36" s="25"/>
      <c r="P36" s="25"/>
      <c r="Q36" s="54"/>
      <c r="R36" s="29"/>
      <c r="S36" s="29"/>
      <c r="T36" s="29"/>
      <c r="U36" s="29"/>
      <c r="V36" s="29"/>
      <c r="W36" s="29"/>
      <c r="X36" s="25"/>
    </row>
    <row r="37" spans="1:24" ht="23.55" customHeight="1" thickBot="1" x14ac:dyDescent="0.35">
      <c r="A37" s="25"/>
      <c r="B37" s="382" t="s">
        <v>271</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x14ac:dyDescent="0.3">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x14ac:dyDescent="0.35">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x14ac:dyDescent="0.35">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x14ac:dyDescent="0.35">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x14ac:dyDescent="0.35">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x14ac:dyDescent="0.35">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35">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35">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35">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35">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35">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x14ac:dyDescent="0.35">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3">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x14ac:dyDescent="0.3">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x14ac:dyDescent="0.3">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x14ac:dyDescent="0.3">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3">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x14ac:dyDescent="0.3">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x14ac:dyDescent="0.3">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3">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x14ac:dyDescent="0.3">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x14ac:dyDescent="0.3">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x14ac:dyDescent="0.3">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x14ac:dyDescent="0.3">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x14ac:dyDescent="0.3">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3">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x14ac:dyDescent="0.3">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x14ac:dyDescent="0.3">
      <c r="A65" s="25"/>
      <c r="B65" s="990"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x14ac:dyDescent="0.3">
      <c r="A66" s="25"/>
      <c r="B66" s="990"/>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x14ac:dyDescent="0.3">
      <c r="A67" s="25"/>
      <c r="B67" s="991"/>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x14ac:dyDescent="0.3">
      <c r="A68" s="25"/>
      <c r="B68" s="991"/>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x14ac:dyDescent="0.3">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x14ac:dyDescent="0.3">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x14ac:dyDescent="0.3"/>
    <row r="72" spans="1:24" ht="14.55" hidden="1" customHeight="1" x14ac:dyDescent="0.3"/>
    <row r="73" spans="1:24" ht="14.55" hidden="1" customHeight="1" x14ac:dyDescent="0.3"/>
    <row r="74" spans="1:24" ht="14.55" hidden="1" customHeight="1" x14ac:dyDescent="0.3"/>
  </sheetData>
  <sheetProtection algorithmName="SHA-512" hashValue="CPWHtAMF7SpnvrSWv0Sibkx3QVUJmsj+Ii7g8fJDF6Cc3cwRYHkCPqCssri2ubNlRlpAjOubpKNTS7vGtFyCeQ==" saltValue="zAp2uNto8KEFoOhQkgDSfg=="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4" zeroHeight="1" x14ac:dyDescent="0.3"/>
  <cols>
    <col min="1" max="2" width="8.77734375" customWidth="1"/>
    <col min="3" max="3" width="78.5546875" bestFit="1" customWidth="1"/>
    <col min="4" max="4" width="28.5546875" style="18" customWidth="1"/>
    <col min="5" max="5" width="14.44140625" hidden="1" customWidth="1"/>
    <col min="6" max="6" width="18.44140625" hidden="1" customWidth="1"/>
    <col min="7" max="7" width="15.77734375" style="18" customWidth="1"/>
    <col min="8" max="8" width="34.554687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1" customHeight="1" thickBot="1" x14ac:dyDescent="0.35">
      <c r="A1" s="25"/>
      <c r="B1" s="1013" t="s">
        <v>285</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 x14ac:dyDescent="0.35">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43.2" x14ac:dyDescent="0.3">
      <c r="A3" s="25"/>
      <c r="B3" s="1012"/>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28.8" x14ac:dyDescent="0.3">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28.8" x14ac:dyDescent="0.3">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28.8" x14ac:dyDescent="0.3">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28.8" x14ac:dyDescent="0.3">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28.8" x14ac:dyDescent="0.3">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28.8" x14ac:dyDescent="0.3">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28.8" x14ac:dyDescent="0.3">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28.8" x14ac:dyDescent="0.3">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28.8" x14ac:dyDescent="0.3">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28.8" x14ac:dyDescent="0.3">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28.8" x14ac:dyDescent="0.3">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28.8" x14ac:dyDescent="0.3">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28.8" x14ac:dyDescent="0.3">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28.8" x14ac:dyDescent="0.3">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28.8" x14ac:dyDescent="0.3">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28.8" x14ac:dyDescent="0.3">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28.8" x14ac:dyDescent="0.3">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28.8" x14ac:dyDescent="0.3">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28.8" x14ac:dyDescent="0.3">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28.8" x14ac:dyDescent="0.3">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28.8" x14ac:dyDescent="0.3">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28.8" x14ac:dyDescent="0.3">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28.8" x14ac:dyDescent="0.3">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1" customHeight="1" x14ac:dyDescent="0.3">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1" customHeight="1" x14ac:dyDescent="0.3">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28.8" x14ac:dyDescent="0.3">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28.8" x14ac:dyDescent="0.3">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28.8" x14ac:dyDescent="0.3">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28.8" x14ac:dyDescent="0.3">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55" customHeight="1" x14ac:dyDescent="0.3">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28.8" x14ac:dyDescent="0.3">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8.05" customHeight="1" x14ac:dyDescent="0.3">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28.8" x14ac:dyDescent="0.3">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28.8" x14ac:dyDescent="0.3">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1" customHeight="1" x14ac:dyDescent="0.3">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28.8" x14ac:dyDescent="0.3">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55" customHeight="1" x14ac:dyDescent="0.3">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28.8" x14ac:dyDescent="0.3">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28.8" x14ac:dyDescent="0.3">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28.8" x14ac:dyDescent="0.3">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28.8" x14ac:dyDescent="0.3">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28.8" x14ac:dyDescent="0.3">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28.8" x14ac:dyDescent="0.3">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28.8" x14ac:dyDescent="0.3">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28.8" x14ac:dyDescent="0.3">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28.8" x14ac:dyDescent="0.3">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28.8" x14ac:dyDescent="0.3">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55" customHeight="1" x14ac:dyDescent="0.3">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28.8" x14ac:dyDescent="0.3">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28.8" x14ac:dyDescent="0.3">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55" customHeight="1" x14ac:dyDescent="0.3">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28.8" x14ac:dyDescent="0.3">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28.8" x14ac:dyDescent="0.3">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28.8" x14ac:dyDescent="0.3">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28.8" x14ac:dyDescent="0.3">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28.8" x14ac:dyDescent="0.3">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28.8" x14ac:dyDescent="0.3">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28.8" x14ac:dyDescent="0.3">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28.8" x14ac:dyDescent="0.3">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28.8" x14ac:dyDescent="0.3">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28.8" x14ac:dyDescent="0.3">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28.8" x14ac:dyDescent="0.3">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28.8" x14ac:dyDescent="0.3">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28.8" x14ac:dyDescent="0.3">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28.8" x14ac:dyDescent="0.3">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28.8" x14ac:dyDescent="0.3">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28.8" x14ac:dyDescent="0.3">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29.4" thickBot="1" x14ac:dyDescent="0.35">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28.8" x14ac:dyDescent="0.3">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28.8" x14ac:dyDescent="0.3">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28.8" x14ac:dyDescent="0.3">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28.8" x14ac:dyDescent="0.3">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55" customHeight="1" x14ac:dyDescent="0.3">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28.8" x14ac:dyDescent="0.3">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28.8" x14ac:dyDescent="0.3">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28.8" x14ac:dyDescent="0.3">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29.4" thickBot="1" x14ac:dyDescent="0.35">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x14ac:dyDescent="0.3">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x14ac:dyDescent="0.3">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15" thickBot="1" x14ac:dyDescent="0.35">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x14ac:dyDescent="0.3">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x14ac:dyDescent="0.3">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3">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3">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3">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3">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3">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3">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3">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3">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3">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3">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3">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3">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3">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3">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3">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3">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3">
      <c r="A102" s="25"/>
      <c r="B102" s="7">
        <f t="shared" si="1"/>
        <v>99</v>
      </c>
      <c r="K102" s="7"/>
      <c r="L102" s="25"/>
      <c r="M102" s="25"/>
      <c r="N102" s="25"/>
      <c r="O102" s="25"/>
      <c r="P102" s="25"/>
      <c r="Q102" s="25"/>
      <c r="R102" s="25"/>
      <c r="S102" s="25"/>
      <c r="T102" s="25"/>
      <c r="U102" s="25"/>
      <c r="V102" s="25"/>
      <c r="W102" s="25"/>
      <c r="X102" s="25"/>
      <c r="Y102" s="25"/>
    </row>
    <row r="103" spans="1:25" x14ac:dyDescent="0.3">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3">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3">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3">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3">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3">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3">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3">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1875" defaultRowHeight="14.4" zeroHeight="1" x14ac:dyDescent="0.3"/>
  <cols>
    <col min="1" max="1" width="8.77734375" customWidth="1"/>
    <col min="2" max="2" width="79.21875" customWidth="1"/>
    <col min="3" max="3" width="24.21875" customWidth="1"/>
    <col min="4" max="4" width="31.21875" customWidth="1"/>
    <col min="5" max="5" width="114.5546875" customWidth="1"/>
    <col min="6" max="6" width="35.77734375" customWidth="1"/>
    <col min="7" max="11" width="17.77734375" customWidth="1"/>
    <col min="12" max="13" width="41.21875" customWidth="1"/>
    <col min="14" max="14" width="96" customWidth="1"/>
    <col min="15" max="15" width="9.21875" customWidth="1"/>
    <col min="16" max="19" width="9.21875" hidden="1" customWidth="1"/>
    <col min="20" max="16380" width="14.44140625" hidden="1" customWidth="1"/>
    <col min="16381" max="16383" width="14.44140625" style="25" customWidth="1"/>
    <col min="16384" max="16384" width="9.21875" style="25"/>
  </cols>
  <sheetData>
    <row r="1" spans="1:20" x14ac:dyDescent="0.3">
      <c r="A1" s="25"/>
      <c r="B1" s="1016" t="s">
        <v>372</v>
      </c>
      <c r="C1" s="1017"/>
      <c r="D1" s="1017"/>
      <c r="E1" s="1017"/>
      <c r="F1" s="1017"/>
      <c r="G1" s="1017"/>
      <c r="H1" s="1017"/>
      <c r="I1" s="1017"/>
      <c r="J1" s="1017"/>
      <c r="K1" s="1017"/>
      <c r="L1" s="1017"/>
      <c r="M1" s="1017"/>
      <c r="N1" s="1018"/>
      <c r="O1" s="25"/>
      <c r="P1" s="25"/>
      <c r="Q1" s="25"/>
      <c r="R1" s="25"/>
      <c r="S1" s="25"/>
      <c r="T1" s="25"/>
    </row>
    <row r="2" spans="1:20" ht="15" thickBot="1" x14ac:dyDescent="0.35">
      <c r="A2" s="25"/>
      <c r="B2" s="1019"/>
      <c r="C2" s="1020"/>
      <c r="D2" s="1020"/>
      <c r="E2" s="1020"/>
      <c r="F2" s="1020"/>
      <c r="G2" s="1020"/>
      <c r="H2" s="1020"/>
      <c r="I2" s="1020"/>
      <c r="J2" s="1020"/>
      <c r="K2" s="1020"/>
      <c r="L2" s="1020"/>
      <c r="M2" s="1020"/>
      <c r="N2" s="1021"/>
      <c r="O2" s="25"/>
      <c r="P2" s="25"/>
      <c r="Q2" s="25"/>
      <c r="R2" s="25"/>
      <c r="S2" s="25"/>
      <c r="T2" s="25"/>
    </row>
    <row r="3" spans="1:20" ht="18" x14ac:dyDescent="0.3">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1" customHeight="1" x14ac:dyDescent="0.3">
      <c r="A4" s="25"/>
      <c r="B4" s="1029"/>
      <c r="C4" s="1039" t="s">
        <v>376</v>
      </c>
      <c r="D4" s="1037" t="s">
        <v>377</v>
      </c>
      <c r="E4" s="1037" t="s">
        <v>378</v>
      </c>
      <c r="F4" s="1035" t="s">
        <v>379</v>
      </c>
      <c r="G4" s="63" t="s">
        <v>380</v>
      </c>
      <c r="H4" s="220" t="s">
        <v>381</v>
      </c>
      <c r="I4" s="220" t="s">
        <v>382</v>
      </c>
      <c r="J4" s="220" t="s">
        <v>383</v>
      </c>
      <c r="K4" s="220" t="s">
        <v>384</v>
      </c>
      <c r="L4" s="1033" t="s">
        <v>385</v>
      </c>
      <c r="M4" s="1031" t="s">
        <v>386</v>
      </c>
      <c r="N4" s="1023"/>
      <c r="O4" s="25"/>
      <c r="P4" s="25"/>
      <c r="Q4" s="25"/>
      <c r="R4" s="25"/>
      <c r="S4" s="25"/>
      <c r="T4" s="25"/>
    </row>
    <row r="5" spans="1:20" ht="65.55" customHeight="1" thickBot="1" x14ac:dyDescent="0.35">
      <c r="A5" s="25"/>
      <c r="B5" s="1030"/>
      <c r="C5" s="1040"/>
      <c r="D5" s="1038"/>
      <c r="E5" s="1038"/>
      <c r="F5" s="1036"/>
      <c r="G5" s="223" t="s">
        <v>114</v>
      </c>
      <c r="H5" s="222" t="s">
        <v>387</v>
      </c>
      <c r="I5" s="222" t="s">
        <v>388</v>
      </c>
      <c r="J5" s="222" t="s">
        <v>389</v>
      </c>
      <c r="K5" s="222" t="s">
        <v>390</v>
      </c>
      <c r="L5" s="1034"/>
      <c r="M5" s="1032"/>
      <c r="N5" s="1024"/>
      <c r="O5" s="25"/>
      <c r="P5" s="25"/>
      <c r="Q5" s="25"/>
      <c r="R5" s="25"/>
      <c r="S5" s="25"/>
      <c r="T5" s="25"/>
    </row>
    <row r="6" spans="1:20" x14ac:dyDescent="0.3">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x14ac:dyDescent="0.3">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x14ac:dyDescent="0.3">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x14ac:dyDescent="0.3">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28.8" x14ac:dyDescent="0.3">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x14ac:dyDescent="0.3">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28.8" x14ac:dyDescent="0.3">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28.8" x14ac:dyDescent="0.3">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28.8" x14ac:dyDescent="0.3">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x14ac:dyDescent="0.3">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x14ac:dyDescent="0.3">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x14ac:dyDescent="0.3">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x14ac:dyDescent="0.3">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x14ac:dyDescent="0.3">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x14ac:dyDescent="0.3">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x14ac:dyDescent="0.3">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28.8" x14ac:dyDescent="0.3">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x14ac:dyDescent="0.3">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x14ac:dyDescent="0.3">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x14ac:dyDescent="0.3">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x14ac:dyDescent="0.3">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28.8" x14ac:dyDescent="0.3">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28.8" x14ac:dyDescent="0.3">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x14ac:dyDescent="0.3">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x14ac:dyDescent="0.3">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x14ac:dyDescent="0.3">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x14ac:dyDescent="0.3">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x14ac:dyDescent="0.3">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x14ac:dyDescent="0.3">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x14ac:dyDescent="0.3">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x14ac:dyDescent="0.3">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x14ac:dyDescent="0.3">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x14ac:dyDescent="0.3">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x14ac:dyDescent="0.3">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x14ac:dyDescent="0.3">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x14ac:dyDescent="0.3">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x14ac:dyDescent="0.3">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x14ac:dyDescent="0.3">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x14ac:dyDescent="0.3">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x14ac:dyDescent="0.3">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x14ac:dyDescent="0.3">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x14ac:dyDescent="0.3">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x14ac:dyDescent="0.3">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x14ac:dyDescent="0.3">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x14ac:dyDescent="0.3">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x14ac:dyDescent="0.3">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x14ac:dyDescent="0.3">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x14ac:dyDescent="0.3">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x14ac:dyDescent="0.3">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x14ac:dyDescent="0.3">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x14ac:dyDescent="0.3">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x14ac:dyDescent="0.3">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x14ac:dyDescent="0.3">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x14ac:dyDescent="0.3">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x14ac:dyDescent="0.3">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x14ac:dyDescent="0.3">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x14ac:dyDescent="0.3">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x14ac:dyDescent="0.3">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x14ac:dyDescent="0.3">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x14ac:dyDescent="0.3">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x14ac:dyDescent="0.3">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x14ac:dyDescent="0.3">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x14ac:dyDescent="0.3">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x14ac:dyDescent="0.3">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x14ac:dyDescent="0.3">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x14ac:dyDescent="0.3">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x14ac:dyDescent="0.3">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x14ac:dyDescent="0.3">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x14ac:dyDescent="0.3">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x14ac:dyDescent="0.3">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x14ac:dyDescent="0.3">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x14ac:dyDescent="0.3">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x14ac:dyDescent="0.3">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28.8" x14ac:dyDescent="0.3">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x14ac:dyDescent="0.3">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28.8" x14ac:dyDescent="0.3">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x14ac:dyDescent="0.3">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x14ac:dyDescent="0.3">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x14ac:dyDescent="0.3">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x14ac:dyDescent="0.3">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x14ac:dyDescent="0.3">
      <c r="A86" s="25"/>
      <c r="B86" s="231"/>
      <c r="C86" s="226"/>
      <c r="D86" s="7"/>
      <c r="E86" s="227"/>
      <c r="F86" s="238"/>
      <c r="G86" s="226"/>
      <c r="H86" s="7"/>
      <c r="I86" s="7"/>
      <c r="J86" s="7"/>
      <c r="K86" s="7"/>
      <c r="L86" s="7"/>
      <c r="M86" s="227"/>
      <c r="N86" s="231"/>
      <c r="O86" s="25"/>
      <c r="P86" s="25"/>
      <c r="Q86" s="25"/>
      <c r="R86" s="25"/>
      <c r="S86" s="25"/>
      <c r="T86" s="25"/>
    </row>
    <row r="87" spans="1:20" x14ac:dyDescent="0.3">
      <c r="A87" s="25"/>
      <c r="B87" s="231"/>
      <c r="C87" s="226"/>
      <c r="D87" s="7"/>
      <c r="E87" s="227"/>
      <c r="F87" s="238"/>
      <c r="G87" s="226"/>
      <c r="H87" s="7"/>
      <c r="I87" s="7"/>
      <c r="J87" s="7"/>
      <c r="K87" s="7"/>
      <c r="L87" s="7"/>
      <c r="M87" s="227"/>
      <c r="N87" s="231"/>
      <c r="O87" s="25"/>
      <c r="P87" s="25"/>
      <c r="Q87" s="25"/>
      <c r="R87" s="25"/>
      <c r="S87" s="25"/>
      <c r="T87" s="25"/>
    </row>
    <row r="88" spans="1:20" x14ac:dyDescent="0.3">
      <c r="A88" s="25"/>
      <c r="B88" s="231"/>
      <c r="C88" s="226"/>
      <c r="D88" s="7"/>
      <c r="E88" s="227"/>
      <c r="F88" s="238"/>
      <c r="G88" s="226"/>
      <c r="H88" s="7"/>
      <c r="I88" s="7"/>
      <c r="J88" s="7"/>
      <c r="K88" s="7"/>
      <c r="L88" s="7"/>
      <c r="M88" s="227"/>
      <c r="N88" s="231"/>
      <c r="O88" s="25"/>
      <c r="P88" s="25"/>
      <c r="Q88" s="25"/>
      <c r="R88" s="25"/>
      <c r="S88" s="25"/>
      <c r="T88" s="25"/>
    </row>
    <row r="89" spans="1:20" x14ac:dyDescent="0.3">
      <c r="A89" s="25"/>
      <c r="B89" s="231"/>
      <c r="C89" s="226"/>
      <c r="D89" s="7"/>
      <c r="E89" s="227"/>
      <c r="F89" s="238"/>
      <c r="G89" s="226"/>
      <c r="H89" s="7"/>
      <c r="I89" s="7"/>
      <c r="J89" s="7"/>
      <c r="K89" s="7"/>
      <c r="L89" s="7"/>
      <c r="M89" s="227"/>
      <c r="N89" s="231"/>
      <c r="O89" s="25"/>
      <c r="P89" s="25"/>
      <c r="Q89" s="25"/>
      <c r="R89" s="25"/>
      <c r="S89" s="25"/>
      <c r="T89" s="25"/>
    </row>
    <row r="90" spans="1:20" x14ac:dyDescent="0.3">
      <c r="A90" s="25"/>
      <c r="B90" s="231"/>
      <c r="C90" s="226"/>
      <c r="D90" s="7"/>
      <c r="E90" s="227"/>
      <c r="F90" s="238"/>
      <c r="G90" s="226"/>
      <c r="H90" s="7"/>
      <c r="I90" s="7"/>
      <c r="J90" s="7"/>
      <c r="K90" s="7"/>
      <c r="L90" s="7"/>
      <c r="M90" s="227"/>
      <c r="N90" s="231"/>
      <c r="O90" s="25"/>
      <c r="P90" s="25"/>
      <c r="Q90" s="25"/>
      <c r="R90" s="25"/>
      <c r="S90" s="25"/>
      <c r="T90" s="25"/>
    </row>
    <row r="91" spans="1:20" x14ac:dyDescent="0.3">
      <c r="A91" s="25"/>
      <c r="B91" s="231"/>
      <c r="C91" s="226"/>
      <c r="D91" s="7"/>
      <c r="E91" s="227"/>
      <c r="F91" s="238"/>
      <c r="G91" s="226"/>
      <c r="H91" s="7"/>
      <c r="I91" s="7"/>
      <c r="J91" s="7"/>
      <c r="K91" s="7"/>
      <c r="L91" s="7"/>
      <c r="M91" s="227"/>
      <c r="N91" s="231"/>
      <c r="O91" s="25"/>
      <c r="P91" s="25"/>
      <c r="Q91" s="25"/>
      <c r="R91" s="25"/>
      <c r="S91" s="25"/>
      <c r="T91" s="25"/>
    </row>
    <row r="92" spans="1:20" x14ac:dyDescent="0.3">
      <c r="A92" s="25"/>
      <c r="B92" s="231"/>
      <c r="C92" s="226"/>
      <c r="D92" s="7"/>
      <c r="E92" s="227"/>
      <c r="F92" s="238"/>
      <c r="G92" s="226"/>
      <c r="H92" s="7"/>
      <c r="I92" s="7"/>
      <c r="J92" s="7"/>
      <c r="K92" s="7"/>
      <c r="L92" s="7"/>
      <c r="M92" s="227"/>
      <c r="N92" s="231"/>
      <c r="O92" s="25"/>
      <c r="P92" s="25"/>
      <c r="Q92" s="25"/>
      <c r="R92" s="25"/>
      <c r="S92" s="25"/>
      <c r="T92" s="25"/>
    </row>
    <row r="93" spans="1:20" x14ac:dyDescent="0.3">
      <c r="A93" s="25"/>
      <c r="B93" s="231"/>
      <c r="C93" s="226"/>
      <c r="D93" s="7"/>
      <c r="E93" s="227"/>
      <c r="F93" s="238"/>
      <c r="G93" s="226"/>
      <c r="H93" s="7"/>
      <c r="I93" s="7"/>
      <c r="J93" s="7"/>
      <c r="K93" s="7"/>
      <c r="L93" s="7"/>
      <c r="M93" s="227"/>
      <c r="N93" s="231"/>
      <c r="O93" s="25"/>
      <c r="P93" s="25"/>
      <c r="Q93" s="25"/>
      <c r="R93" s="25"/>
      <c r="S93" s="25"/>
      <c r="T93" s="25"/>
    </row>
    <row r="94" spans="1:20" x14ac:dyDescent="0.3">
      <c r="A94" s="25"/>
      <c r="B94" s="231"/>
      <c r="C94" s="226"/>
      <c r="D94" s="7"/>
      <c r="E94" s="227"/>
      <c r="F94" s="238"/>
      <c r="G94" s="226"/>
      <c r="H94" s="7"/>
      <c r="I94" s="7"/>
      <c r="J94" s="7"/>
      <c r="K94" s="7"/>
      <c r="L94" s="7"/>
      <c r="M94" s="227"/>
      <c r="N94" s="231"/>
      <c r="O94" s="25"/>
      <c r="P94" s="25"/>
      <c r="Q94" s="25"/>
      <c r="R94" s="25"/>
      <c r="S94" s="25"/>
      <c r="T94" s="25"/>
    </row>
    <row r="95" spans="1:20" x14ac:dyDescent="0.3">
      <c r="A95" s="25"/>
      <c r="B95" s="231"/>
      <c r="C95" s="226"/>
      <c r="D95" s="7"/>
      <c r="E95" s="227"/>
      <c r="F95" s="238"/>
      <c r="G95" s="226"/>
      <c r="H95" s="7"/>
      <c r="I95" s="7"/>
      <c r="J95" s="7"/>
      <c r="K95" s="7"/>
      <c r="L95" s="7"/>
      <c r="M95" s="227"/>
      <c r="N95" s="231"/>
      <c r="O95" s="25"/>
      <c r="P95" s="25"/>
      <c r="Q95" s="25"/>
      <c r="R95" s="25"/>
      <c r="S95" s="25"/>
      <c r="T95" s="25"/>
    </row>
    <row r="96" spans="1:20" x14ac:dyDescent="0.3">
      <c r="A96" s="25"/>
      <c r="B96" s="231"/>
      <c r="C96" s="226"/>
      <c r="D96" s="7"/>
      <c r="E96" s="227"/>
      <c r="F96" s="238"/>
      <c r="G96" s="226"/>
      <c r="H96" s="7"/>
      <c r="I96" s="7"/>
      <c r="J96" s="7"/>
      <c r="K96" s="7"/>
      <c r="L96" s="7"/>
      <c r="M96" s="227"/>
      <c r="N96" s="231"/>
      <c r="O96" s="25"/>
      <c r="P96" s="25"/>
      <c r="Q96" s="25"/>
      <c r="R96" s="25"/>
      <c r="S96" s="25"/>
      <c r="T96" s="25"/>
    </row>
    <row r="97" spans="1:20" x14ac:dyDescent="0.3">
      <c r="A97" s="25"/>
      <c r="B97" s="231"/>
      <c r="C97" s="226"/>
      <c r="D97" s="7"/>
      <c r="E97" s="227"/>
      <c r="F97" s="238"/>
      <c r="G97" s="226"/>
      <c r="H97" s="7"/>
      <c r="I97" s="7"/>
      <c r="J97" s="7"/>
      <c r="K97" s="7"/>
      <c r="L97" s="7"/>
      <c r="M97" s="227"/>
      <c r="N97" s="231"/>
      <c r="O97" s="25"/>
      <c r="P97" s="25"/>
      <c r="Q97" s="25"/>
      <c r="R97" s="25"/>
      <c r="S97" s="25"/>
      <c r="T97" s="25"/>
    </row>
    <row r="98" spans="1:20" x14ac:dyDescent="0.3">
      <c r="A98" s="25"/>
      <c r="B98" s="231"/>
      <c r="C98" s="226"/>
      <c r="D98" s="7"/>
      <c r="E98" s="227"/>
      <c r="F98" s="238"/>
      <c r="G98" s="226"/>
      <c r="H98" s="7"/>
      <c r="I98" s="7"/>
      <c r="J98" s="7"/>
      <c r="K98" s="7"/>
      <c r="L98" s="7"/>
      <c r="M98" s="227"/>
      <c r="N98" s="231"/>
      <c r="O98" s="25"/>
      <c r="P98" s="25"/>
      <c r="Q98" s="25"/>
      <c r="R98" s="25"/>
      <c r="S98" s="25"/>
      <c r="T98" s="25"/>
    </row>
    <row r="99" spans="1:20" x14ac:dyDescent="0.3">
      <c r="A99" s="25"/>
      <c r="B99" s="231"/>
      <c r="C99" s="226"/>
      <c r="D99" s="7"/>
      <c r="E99" s="227"/>
      <c r="F99" s="238"/>
      <c r="G99" s="226"/>
      <c r="H99" s="7"/>
      <c r="I99" s="7"/>
      <c r="J99" s="7"/>
      <c r="K99" s="7"/>
      <c r="L99" s="7"/>
      <c r="M99" s="227"/>
      <c r="N99" s="231"/>
      <c r="O99" s="25"/>
      <c r="P99" s="25"/>
      <c r="Q99" s="25"/>
      <c r="R99" s="25"/>
      <c r="S99" s="25"/>
      <c r="T99" s="25"/>
    </row>
    <row r="100" spans="1:20" x14ac:dyDescent="0.3">
      <c r="A100" s="25"/>
      <c r="B100" s="231"/>
      <c r="C100" s="226"/>
      <c r="D100" s="7"/>
      <c r="E100" s="227"/>
      <c r="F100" s="238"/>
      <c r="G100" s="226"/>
      <c r="H100" s="7"/>
      <c r="I100" s="7"/>
      <c r="J100" s="7"/>
      <c r="K100" s="7"/>
      <c r="L100" s="7"/>
      <c r="M100" s="227"/>
      <c r="N100" s="231"/>
      <c r="O100" s="25"/>
      <c r="P100" s="25"/>
      <c r="Q100" s="25"/>
      <c r="R100" s="25"/>
      <c r="S100" s="25"/>
      <c r="T100" s="25"/>
    </row>
    <row r="101" spans="1:20" x14ac:dyDescent="0.3">
      <c r="A101" s="25"/>
      <c r="B101" s="231"/>
      <c r="C101" s="226"/>
      <c r="D101" s="7"/>
      <c r="E101" s="227"/>
      <c r="F101" s="238"/>
      <c r="G101" s="226"/>
      <c r="H101" s="7"/>
      <c r="I101" s="7"/>
      <c r="J101" s="7"/>
      <c r="K101" s="7"/>
      <c r="L101" s="7"/>
      <c r="M101" s="227"/>
      <c r="N101" s="231"/>
      <c r="O101" s="25"/>
      <c r="P101" s="25"/>
      <c r="Q101" s="25"/>
      <c r="R101" s="25"/>
      <c r="S101" s="25"/>
      <c r="T101" s="25"/>
    </row>
    <row r="102" spans="1:20" x14ac:dyDescent="0.3">
      <c r="A102" s="25"/>
      <c r="B102" s="231"/>
      <c r="C102" s="226"/>
      <c r="D102" s="7"/>
      <c r="E102" s="227"/>
      <c r="F102" s="238"/>
      <c r="G102" s="226"/>
      <c r="H102" s="7"/>
      <c r="I102" s="7"/>
      <c r="J102" s="7"/>
      <c r="K102" s="7"/>
      <c r="L102" s="7"/>
      <c r="M102" s="227"/>
      <c r="N102" s="231"/>
      <c r="O102" s="25"/>
      <c r="P102" s="25"/>
      <c r="Q102" s="25"/>
      <c r="R102" s="25"/>
      <c r="S102" s="25"/>
      <c r="T102" s="25"/>
    </row>
    <row r="103" spans="1:20" x14ac:dyDescent="0.3">
      <c r="A103" s="25"/>
      <c r="B103" s="231"/>
      <c r="C103" s="226"/>
      <c r="D103" s="7"/>
      <c r="E103" s="227"/>
      <c r="F103" s="238"/>
      <c r="G103" s="226"/>
      <c r="H103" s="7"/>
      <c r="I103" s="7"/>
      <c r="J103" s="7"/>
      <c r="K103" s="7"/>
      <c r="L103" s="7"/>
      <c r="M103" s="227"/>
      <c r="N103" s="231"/>
      <c r="O103" s="25"/>
      <c r="P103" s="25"/>
      <c r="Q103" s="25"/>
      <c r="R103" s="25"/>
      <c r="S103" s="25"/>
      <c r="T103" s="25"/>
    </row>
    <row r="104" spans="1:20" x14ac:dyDescent="0.3">
      <c r="A104" s="25"/>
      <c r="B104" s="231"/>
      <c r="C104" s="226"/>
      <c r="D104" s="7"/>
      <c r="E104" s="227"/>
      <c r="F104" s="238"/>
      <c r="G104" s="226"/>
      <c r="H104" s="7"/>
      <c r="I104" s="7"/>
      <c r="J104" s="7"/>
      <c r="K104" s="7"/>
      <c r="L104" s="7"/>
      <c r="M104" s="227"/>
      <c r="N104" s="231"/>
      <c r="O104" s="25"/>
      <c r="P104" s="25"/>
      <c r="Q104" s="25"/>
      <c r="R104" s="25"/>
      <c r="S104" s="25"/>
      <c r="T104" s="25"/>
    </row>
    <row r="105" spans="1:20" x14ac:dyDescent="0.3">
      <c r="A105" s="25"/>
      <c r="B105" s="231"/>
      <c r="C105" s="226"/>
      <c r="D105" s="7"/>
      <c r="E105" s="227"/>
      <c r="F105" s="238"/>
      <c r="G105" s="226"/>
      <c r="H105" s="7"/>
      <c r="I105" s="7"/>
      <c r="J105" s="7"/>
      <c r="K105" s="7"/>
      <c r="L105" s="7"/>
      <c r="M105" s="227"/>
      <c r="N105" s="231"/>
      <c r="O105" s="25"/>
      <c r="P105" s="25"/>
      <c r="Q105" s="25"/>
      <c r="R105" s="25"/>
      <c r="S105" s="25"/>
      <c r="T105" s="25"/>
    </row>
    <row r="106" spans="1:20" ht="15" thickBot="1" x14ac:dyDescent="0.35">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3">
      <c r="A107" s="25"/>
      <c r="B107" s="25"/>
      <c r="C107" s="25"/>
      <c r="D107" s="25"/>
      <c r="E107" s="25"/>
      <c r="F107" s="25"/>
      <c r="G107" s="25"/>
      <c r="H107" s="25"/>
      <c r="I107" s="25"/>
      <c r="J107" s="25"/>
      <c r="K107" s="25"/>
      <c r="L107" s="25"/>
      <c r="M107" s="25"/>
      <c r="N107" s="25"/>
      <c r="O107" s="25"/>
      <c r="P107" s="25"/>
      <c r="Q107" s="25"/>
      <c r="R107" s="25"/>
      <c r="S107" s="25"/>
      <c r="T107" s="25"/>
    </row>
    <row r="108" spans="1:20" x14ac:dyDescent="0.3">
      <c r="A108" s="25"/>
      <c r="B108" s="25"/>
      <c r="C108" s="25"/>
      <c r="D108" s="25"/>
      <c r="E108" s="25"/>
      <c r="F108" s="25"/>
      <c r="G108" s="25"/>
      <c r="H108" s="25"/>
      <c r="I108" s="25"/>
      <c r="J108" s="25"/>
      <c r="K108" s="25"/>
      <c r="L108" s="25"/>
      <c r="M108" s="25"/>
      <c r="N108" s="25"/>
      <c r="O108" s="25"/>
      <c r="P108" s="25"/>
      <c r="Q108" s="25"/>
      <c r="R108" s="25"/>
      <c r="S108" s="25"/>
      <c r="T108" s="25"/>
    </row>
    <row r="109" spans="1:20" x14ac:dyDescent="0.3">
      <c r="A109" s="25"/>
      <c r="B109" s="25"/>
      <c r="C109" s="25"/>
      <c r="D109" s="25"/>
      <c r="E109" s="25"/>
      <c r="F109" s="25"/>
      <c r="G109" s="25"/>
      <c r="H109" s="25"/>
      <c r="I109" s="25"/>
      <c r="J109" s="25"/>
      <c r="K109" s="25"/>
      <c r="L109" s="25"/>
      <c r="M109" s="25"/>
      <c r="N109" s="25"/>
      <c r="O109" s="25"/>
      <c r="P109" s="25"/>
      <c r="Q109" s="25"/>
      <c r="R109" s="25"/>
      <c r="S109" s="25"/>
      <c r="T109" s="25"/>
    </row>
    <row r="110" spans="1:20" x14ac:dyDescent="0.3">
      <c r="A110" s="25"/>
      <c r="B110" s="25"/>
      <c r="C110" s="25"/>
      <c r="D110" s="25"/>
      <c r="E110" s="25"/>
      <c r="F110" s="25"/>
      <c r="G110" s="25"/>
      <c r="H110" s="25"/>
      <c r="I110" s="25"/>
      <c r="J110" s="25"/>
      <c r="K110" s="25"/>
      <c r="L110" s="25"/>
      <c r="M110" s="25"/>
      <c r="N110" s="25"/>
      <c r="O110" s="25"/>
      <c r="P110" s="25"/>
      <c r="Q110" s="25"/>
      <c r="R110" s="25"/>
      <c r="S110" s="25"/>
      <c r="T110" s="25"/>
    </row>
    <row r="111" spans="1:20" x14ac:dyDescent="0.3">
      <c r="A111" s="25"/>
      <c r="B111" s="25"/>
      <c r="C111" s="25"/>
      <c r="D111" s="25"/>
      <c r="E111" s="25"/>
      <c r="F111" s="25"/>
      <c r="G111" s="25"/>
      <c r="H111" s="25"/>
      <c r="I111" s="25"/>
      <c r="J111" s="25"/>
      <c r="K111" s="25"/>
      <c r="L111" s="25"/>
      <c r="M111" s="25"/>
      <c r="N111" s="25"/>
      <c r="O111" s="25"/>
      <c r="P111" s="25"/>
      <c r="Q111" s="25"/>
      <c r="R111" s="25"/>
      <c r="S111" s="25"/>
      <c r="T111" s="25"/>
    </row>
    <row r="112" spans="1:20" x14ac:dyDescent="0.3">
      <c r="A112" s="25"/>
      <c r="B112" s="25"/>
      <c r="C112" s="25"/>
      <c r="D112" s="25"/>
      <c r="E112" s="25"/>
      <c r="F112" s="25"/>
      <c r="G112" s="25"/>
      <c r="H112" s="25"/>
      <c r="I112" s="25"/>
      <c r="J112" s="25"/>
      <c r="K112" s="25"/>
      <c r="L112" s="25"/>
      <c r="M112" s="25"/>
      <c r="N112" s="25"/>
      <c r="O112" s="25"/>
      <c r="P112" s="25"/>
      <c r="Q112" s="25"/>
      <c r="R112" s="25"/>
      <c r="S112" s="25"/>
      <c r="T112" s="25"/>
    </row>
    <row r="113" spans="1:20" x14ac:dyDescent="0.3">
      <c r="A113" s="25"/>
      <c r="B113" s="25"/>
      <c r="C113" s="25"/>
      <c r="D113" s="25"/>
      <c r="E113" s="25"/>
      <c r="F113" s="25"/>
      <c r="G113" s="25"/>
      <c r="H113" s="25"/>
      <c r="I113" s="25"/>
      <c r="J113" s="25"/>
      <c r="K113" s="25"/>
      <c r="L113" s="25"/>
      <c r="M113" s="25"/>
      <c r="N113" s="25"/>
      <c r="O113" s="25"/>
      <c r="P113" s="25"/>
      <c r="Q113" s="25"/>
      <c r="R113" s="25"/>
      <c r="S113" s="25"/>
      <c r="T113" s="25"/>
    </row>
    <row r="114" spans="1:20" x14ac:dyDescent="0.3">
      <c r="A114" s="25"/>
      <c r="B114" s="25"/>
      <c r="C114" s="25"/>
      <c r="D114" s="25"/>
      <c r="E114" s="25"/>
      <c r="F114" s="25"/>
      <c r="G114" s="25"/>
      <c r="H114" s="25"/>
      <c r="I114" s="25"/>
      <c r="J114" s="25"/>
      <c r="K114" s="25"/>
      <c r="L114" s="25"/>
      <c r="M114" s="25"/>
      <c r="N114" s="25"/>
      <c r="O114" s="25"/>
      <c r="P114" s="25"/>
      <c r="Q114" s="25"/>
      <c r="R114" s="25"/>
      <c r="S114" s="25"/>
      <c r="T114" s="25"/>
    </row>
    <row r="115" spans="1:20" x14ac:dyDescent="0.3">
      <c r="A115" s="25"/>
      <c r="B115" s="25"/>
      <c r="C115" s="25"/>
      <c r="D115" s="25"/>
      <c r="E115" s="25"/>
      <c r="F115" s="25"/>
      <c r="G115" s="25"/>
      <c r="H115" s="25"/>
      <c r="I115" s="25"/>
      <c r="J115" s="25"/>
      <c r="K115" s="25"/>
      <c r="L115" s="25"/>
      <c r="M115" s="25"/>
      <c r="N115" s="25"/>
      <c r="O115" s="25"/>
      <c r="P115" s="25"/>
      <c r="Q115" s="25"/>
      <c r="R115" s="25"/>
      <c r="S115" s="25"/>
      <c r="T115" s="25"/>
    </row>
    <row r="116" spans="1:20" x14ac:dyDescent="0.3">
      <c r="A116" s="25"/>
      <c r="B116" s="25"/>
      <c r="C116" s="25"/>
      <c r="D116" s="25"/>
      <c r="E116" s="25"/>
      <c r="F116" s="25"/>
      <c r="G116" s="25"/>
      <c r="H116" s="25"/>
      <c r="I116" s="25"/>
      <c r="J116" s="25"/>
      <c r="K116" s="25"/>
      <c r="L116" s="25"/>
      <c r="M116" s="25"/>
      <c r="N116" s="25"/>
      <c r="O116" s="25"/>
      <c r="P116" s="25"/>
      <c r="Q116" s="25"/>
      <c r="R116" s="25"/>
      <c r="S116" s="25"/>
      <c r="T116" s="25"/>
    </row>
    <row r="117" spans="1:20" x14ac:dyDescent="0.3">
      <c r="A117" s="25"/>
      <c r="B117" s="25"/>
      <c r="C117" s="25"/>
      <c r="D117" s="25"/>
      <c r="E117" s="25"/>
      <c r="F117" s="25"/>
      <c r="G117" s="25"/>
      <c r="H117" s="25"/>
      <c r="I117" s="25"/>
      <c r="J117" s="25"/>
      <c r="K117" s="25"/>
      <c r="L117" s="25"/>
      <c r="M117" s="25"/>
      <c r="N117" s="25"/>
      <c r="O117" s="25"/>
      <c r="P117" s="25"/>
      <c r="Q117" s="25"/>
      <c r="R117" s="25"/>
      <c r="S117" s="25"/>
      <c r="T117" s="25"/>
    </row>
    <row r="118" spans="1:20" x14ac:dyDescent="0.3">
      <c r="A118" s="25"/>
      <c r="B118" s="25"/>
      <c r="C118" s="25"/>
      <c r="D118" s="25"/>
      <c r="E118" s="25"/>
      <c r="F118" s="25"/>
      <c r="G118" s="25"/>
      <c r="H118" s="25"/>
      <c r="I118" s="25"/>
      <c r="J118" s="25"/>
      <c r="K118" s="25"/>
      <c r="L118" s="25"/>
      <c r="M118" s="25"/>
      <c r="N118" s="25"/>
      <c r="O118" s="25"/>
      <c r="P118" s="25"/>
      <c r="Q118" s="25"/>
      <c r="R118" s="25"/>
      <c r="S118" s="25"/>
      <c r="T118" s="25"/>
    </row>
    <row r="119" spans="1:20" x14ac:dyDescent="0.3">
      <c r="A119" s="25"/>
      <c r="B119" s="25"/>
      <c r="C119" s="25"/>
      <c r="D119" s="25"/>
      <c r="E119" s="25"/>
      <c r="F119" s="25"/>
      <c r="G119" s="25"/>
      <c r="H119" s="25"/>
      <c r="I119" s="25"/>
      <c r="J119" s="25"/>
      <c r="K119" s="25"/>
      <c r="L119" s="25"/>
      <c r="M119" s="25"/>
      <c r="N119" s="25"/>
      <c r="O119" s="25"/>
      <c r="P119" s="25"/>
      <c r="Q119" s="25"/>
      <c r="R119" s="25"/>
      <c r="S119" s="25"/>
      <c r="T119" s="25"/>
    </row>
    <row r="120" spans="1:20" x14ac:dyDescent="0.3">
      <c r="A120" s="25"/>
      <c r="B120" s="25"/>
      <c r="C120" s="25"/>
      <c r="D120" s="25"/>
      <c r="E120" s="25"/>
      <c r="F120" s="25"/>
      <c r="G120" s="25"/>
      <c r="H120" s="25"/>
      <c r="I120" s="25"/>
      <c r="J120" s="25"/>
      <c r="K120" s="25"/>
      <c r="L120" s="25"/>
      <c r="M120" s="25"/>
      <c r="N120" s="25"/>
      <c r="O120" s="25"/>
      <c r="P120" s="25"/>
      <c r="Q120" s="25"/>
      <c r="R120" s="25"/>
      <c r="S120" s="25"/>
      <c r="T120" s="25"/>
    </row>
    <row r="121" spans="1:20" x14ac:dyDescent="0.3">
      <c r="A121" s="25"/>
      <c r="B121" s="25"/>
      <c r="C121" s="25"/>
      <c r="D121" s="25"/>
      <c r="E121" s="25"/>
      <c r="F121" s="25"/>
      <c r="G121" s="25"/>
      <c r="H121" s="25"/>
      <c r="I121" s="25"/>
      <c r="J121" s="25"/>
      <c r="K121" s="25"/>
      <c r="L121" s="25"/>
      <c r="M121" s="25"/>
      <c r="N121" s="25"/>
      <c r="O121" s="25"/>
      <c r="P121" s="25"/>
      <c r="Q121" s="25"/>
      <c r="R121" s="25"/>
      <c r="S121" s="25"/>
      <c r="T121" s="25"/>
    </row>
    <row r="122" spans="1:20" x14ac:dyDescent="0.3">
      <c r="A122" s="25"/>
      <c r="B122" s="25"/>
      <c r="C122" s="25"/>
      <c r="D122" s="25"/>
      <c r="E122" s="25"/>
      <c r="F122" s="25"/>
      <c r="G122" s="25"/>
      <c r="H122" s="25"/>
      <c r="I122" s="25"/>
      <c r="J122" s="25"/>
      <c r="K122" s="25"/>
      <c r="L122" s="25"/>
      <c r="M122" s="25"/>
      <c r="N122" s="25"/>
      <c r="O122" s="25"/>
      <c r="P122" s="25"/>
      <c r="Q122" s="25"/>
      <c r="R122" s="25"/>
      <c r="S122" s="25"/>
      <c r="T122" s="25"/>
    </row>
    <row r="123" spans="1:20" x14ac:dyDescent="0.3">
      <c r="A123" s="25"/>
      <c r="B123" s="25"/>
      <c r="C123" s="25"/>
      <c r="D123" s="25"/>
      <c r="E123" s="25"/>
      <c r="F123" s="25"/>
      <c r="G123" s="25"/>
      <c r="H123" s="25"/>
      <c r="I123" s="25"/>
      <c r="J123" s="25"/>
      <c r="K123" s="25"/>
      <c r="L123" s="25"/>
      <c r="M123" s="25"/>
      <c r="N123" s="25"/>
      <c r="O123" s="25"/>
      <c r="P123" s="25"/>
      <c r="Q123" s="25"/>
      <c r="R123" s="25"/>
      <c r="S123" s="25"/>
      <c r="T123" s="25"/>
    </row>
    <row r="124" spans="1:20" x14ac:dyDescent="0.3">
      <c r="A124" s="25"/>
      <c r="B124" s="25"/>
      <c r="C124" s="25"/>
      <c r="D124" s="25"/>
      <c r="E124" s="25"/>
      <c r="F124" s="25"/>
      <c r="G124" s="25"/>
      <c r="H124" s="25"/>
      <c r="I124" s="25"/>
      <c r="J124" s="25"/>
      <c r="K124" s="25"/>
      <c r="L124" s="25"/>
      <c r="M124" s="25"/>
      <c r="N124" s="25"/>
      <c r="O124" s="25"/>
      <c r="P124" s="25"/>
      <c r="Q124" s="25"/>
      <c r="R124" s="25"/>
      <c r="S124" s="25"/>
      <c r="T124" s="25"/>
    </row>
    <row r="125" spans="1:20" x14ac:dyDescent="0.3">
      <c r="A125" s="25"/>
      <c r="B125" s="25"/>
      <c r="C125" s="25"/>
      <c r="D125" s="25"/>
      <c r="E125" s="25"/>
      <c r="F125" s="25"/>
      <c r="G125" s="25"/>
      <c r="H125" s="25"/>
      <c r="I125" s="25"/>
      <c r="J125" s="25"/>
      <c r="K125" s="25"/>
      <c r="L125" s="25"/>
      <c r="M125" s="25"/>
      <c r="N125" s="25"/>
      <c r="O125" s="25"/>
      <c r="P125" s="25"/>
      <c r="Q125" s="25"/>
      <c r="R125" s="25"/>
      <c r="S125" s="25"/>
      <c r="T125" s="25"/>
    </row>
    <row r="126" spans="1:20" x14ac:dyDescent="0.3">
      <c r="A126" s="25"/>
      <c r="B126" s="25"/>
      <c r="C126" s="25"/>
      <c r="D126" s="25"/>
      <c r="E126" s="25"/>
      <c r="F126" s="25"/>
      <c r="G126" s="25"/>
      <c r="H126" s="25"/>
      <c r="I126" s="25"/>
      <c r="J126" s="25"/>
      <c r="K126" s="25"/>
      <c r="L126" s="25"/>
      <c r="M126" s="25"/>
      <c r="N126" s="25"/>
      <c r="O126" s="25"/>
      <c r="P126" s="25"/>
      <c r="Q126" s="25"/>
      <c r="R126" s="25"/>
      <c r="S126" s="25"/>
      <c r="T126" s="25"/>
    </row>
    <row r="127" spans="1:20" x14ac:dyDescent="0.3">
      <c r="A127" s="25"/>
      <c r="B127" s="25"/>
      <c r="C127" s="25"/>
      <c r="D127" s="25"/>
      <c r="E127" s="25"/>
      <c r="F127" s="25"/>
      <c r="G127" s="25"/>
      <c r="H127" s="25"/>
      <c r="I127" s="25"/>
      <c r="J127" s="25"/>
      <c r="K127" s="25"/>
      <c r="L127" s="25"/>
      <c r="M127" s="25"/>
      <c r="N127" s="25"/>
      <c r="O127" s="25"/>
      <c r="P127" s="25"/>
      <c r="Q127" s="25"/>
      <c r="R127" s="25"/>
      <c r="S127" s="25"/>
      <c r="T127" s="25"/>
    </row>
    <row r="128" spans="1:20" x14ac:dyDescent="0.3">
      <c r="A128" s="25"/>
      <c r="B128" s="25"/>
      <c r="C128" s="25"/>
      <c r="D128" s="25"/>
      <c r="E128" s="25"/>
      <c r="F128" s="25"/>
      <c r="G128" s="25"/>
      <c r="H128" s="25"/>
      <c r="I128" s="25"/>
      <c r="J128" s="25"/>
      <c r="K128" s="25"/>
      <c r="L128" s="25"/>
      <c r="M128" s="25"/>
      <c r="N128" s="25"/>
      <c r="O128" s="25"/>
      <c r="P128" s="25"/>
      <c r="Q128" s="25"/>
      <c r="R128" s="25"/>
      <c r="S128" s="25"/>
      <c r="T128" s="25"/>
    </row>
    <row r="129" spans="1:20" x14ac:dyDescent="0.3">
      <c r="A129" s="25"/>
      <c r="B129" s="25"/>
      <c r="C129" s="25"/>
      <c r="D129" s="25"/>
      <c r="E129" s="25"/>
      <c r="F129" s="25"/>
      <c r="G129" s="25"/>
      <c r="H129" s="25"/>
      <c r="I129" s="25"/>
      <c r="J129" s="25"/>
      <c r="K129" s="25"/>
      <c r="L129" s="25"/>
      <c r="M129" s="25"/>
      <c r="N129" s="25"/>
      <c r="O129" s="25"/>
      <c r="P129" s="25"/>
      <c r="Q129" s="25"/>
      <c r="R129" s="25"/>
      <c r="S129" s="25"/>
      <c r="T129" s="25"/>
    </row>
    <row r="130" spans="1:20" x14ac:dyDescent="0.3">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3">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3">
      <c r="M132" s="25"/>
      <c r="N132" s="25"/>
      <c r="O132" s="25"/>
      <c r="P132" s="25"/>
      <c r="Q132" s="25"/>
      <c r="R132" s="25"/>
      <c r="S132" s="25"/>
      <c r="T132" s="25"/>
    </row>
    <row r="133" spans="1:20" hidden="1" x14ac:dyDescent="0.3">
      <c r="M133" s="25"/>
      <c r="N133" s="25"/>
      <c r="O133" s="25"/>
      <c r="P133" s="25"/>
      <c r="Q133" s="25"/>
      <c r="R133" s="25"/>
      <c r="S133" s="25"/>
      <c r="T133" s="25"/>
    </row>
    <row r="134" spans="1:20" hidden="1" x14ac:dyDescent="0.3">
      <c r="M134" s="25"/>
      <c r="N134" s="25"/>
      <c r="O134" s="25"/>
      <c r="P134" s="25"/>
      <c r="Q134" s="25"/>
      <c r="R134" s="25"/>
      <c r="S134" s="25"/>
      <c r="T134" s="25"/>
    </row>
    <row r="135" spans="1:20" hidden="1" x14ac:dyDescent="0.3">
      <c r="M135" s="25"/>
      <c r="N135" s="25"/>
      <c r="O135" s="25"/>
      <c r="P135" s="25"/>
      <c r="Q135" s="25"/>
      <c r="R135" s="25"/>
      <c r="S135" s="25"/>
      <c r="T135" s="25"/>
    </row>
    <row r="136" spans="1:20" hidden="1" x14ac:dyDescent="0.3">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7734375" defaultRowHeight="14.4" zeroHeight="1" x14ac:dyDescent="0.3"/>
  <cols>
    <col min="1" max="1" width="25.21875" customWidth="1"/>
    <col min="2" max="2" width="8.77734375" customWidth="1"/>
    <col min="3" max="3" width="42" customWidth="1"/>
    <col min="4" max="4" width="18.77734375" customWidth="1"/>
    <col min="5" max="5" width="32.44140625" customWidth="1"/>
    <col min="6" max="6" width="19.5546875" customWidth="1"/>
    <col min="7" max="7" width="32" bestFit="1" customWidth="1"/>
    <col min="8" max="8" width="8.77734375" customWidth="1"/>
    <col min="9" max="9" width="82.44140625" bestFit="1" customWidth="1"/>
    <col min="10" max="10" width="13.77734375" customWidth="1"/>
    <col min="11" max="11" width="35.21875" bestFit="1" customWidth="1"/>
    <col min="12" max="12" width="8.77734375" customWidth="1"/>
    <col min="13" max="13" width="48.5546875" bestFit="1" customWidth="1"/>
    <col min="14" max="14" width="8.77734375" customWidth="1"/>
    <col min="15" max="15" width="33.5546875" bestFit="1" customWidth="1"/>
    <col min="16" max="16" width="8.77734375" customWidth="1"/>
    <col min="17" max="17" width="44" customWidth="1"/>
    <col min="18" max="18" width="8.77734375" customWidth="1"/>
    <col min="19" max="19" width="35.77734375" bestFit="1" customWidth="1"/>
    <col min="20" max="20" width="8.77734375" customWidth="1"/>
    <col min="21" max="21" width="61.5546875" customWidth="1"/>
    <col min="22" max="22" width="12" bestFit="1" customWidth="1"/>
    <col min="23" max="23" width="81.77734375" bestFit="1" customWidth="1"/>
    <col min="24" max="24" width="61.21875" bestFit="1" customWidth="1"/>
    <col min="25" max="25" width="47.77734375" bestFit="1" customWidth="1"/>
    <col min="26" max="26" width="17" bestFit="1" customWidth="1"/>
    <col min="27" max="27" width="48.21875" customWidth="1"/>
    <col min="28" max="28" width="17" bestFit="1" customWidth="1"/>
    <col min="29" max="29" width="48.21875" customWidth="1"/>
    <col min="30" max="16380" width="2.77734375" hidden="1" customWidth="1"/>
    <col min="16381" max="16384" width="2.77734375" style="25" customWidth="1"/>
  </cols>
  <sheetData>
    <row r="1" spans="1:29" x14ac:dyDescent="0.3">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x14ac:dyDescent="0.3">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x14ac:dyDescent="0.3">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x14ac:dyDescent="0.3">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x14ac:dyDescent="0.3">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x14ac:dyDescent="0.3">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x14ac:dyDescent="0.3">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x14ac:dyDescent="0.3">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x14ac:dyDescent="0.3">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x14ac:dyDescent="0.3">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x14ac:dyDescent="0.3">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x14ac:dyDescent="0.3">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x14ac:dyDescent="0.3">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x14ac:dyDescent="0.3">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x14ac:dyDescent="0.3">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x14ac:dyDescent="0.3">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x14ac:dyDescent="0.3">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x14ac:dyDescent="0.3">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x14ac:dyDescent="0.3">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x14ac:dyDescent="0.3">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x14ac:dyDescent="0.3">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x14ac:dyDescent="0.3">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3">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3">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3">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3">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3">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3">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3">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3">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x14ac:dyDescent="0.3">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x14ac:dyDescent="0.3">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x14ac:dyDescent="0.3">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x14ac:dyDescent="0.3">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28.8" x14ac:dyDescent="0.3">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x14ac:dyDescent="0.3">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x14ac:dyDescent="0.3">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x14ac:dyDescent="0.3">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x14ac:dyDescent="0.3">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x14ac:dyDescent="0.3">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x14ac:dyDescent="0.3">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x14ac:dyDescent="0.55000000000000004">
      <c r="A45" s="25"/>
      <c r="B45" s="970" t="s">
        <v>480</v>
      </c>
      <c r="C45" s="1044"/>
      <c r="D45" s="1045"/>
      <c r="E45" s="25"/>
      <c r="F45" s="970" t="s">
        <v>481</v>
      </c>
      <c r="G45" s="1045"/>
      <c r="H45" s="25"/>
      <c r="I45" s="1051" t="s">
        <v>482</v>
      </c>
      <c r="J45" s="1051"/>
      <c r="K45" s="1051"/>
      <c r="L45" s="25"/>
      <c r="M45" s="1050" t="s">
        <v>93</v>
      </c>
      <c r="N45" s="1050"/>
      <c r="O45" s="1050"/>
      <c r="P45" s="1050"/>
      <c r="Q45" s="25"/>
      <c r="R45" s="25"/>
      <c r="S45" s="970" t="s">
        <v>483</v>
      </c>
      <c r="T45" s="1044"/>
      <c r="U45" s="1045"/>
      <c r="V45" s="25"/>
      <c r="W45" s="17" t="s">
        <v>484</v>
      </c>
      <c r="X45" s="17"/>
      <c r="Y45" s="25"/>
      <c r="Z45" s="25"/>
      <c r="AA45" s="25"/>
      <c r="AB45" s="25"/>
      <c r="AC45" s="25"/>
    </row>
    <row r="46" spans="1:29" ht="43.2" x14ac:dyDescent="0.3">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57.6" x14ac:dyDescent="0.3">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43.2" x14ac:dyDescent="0.3">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28.8" x14ac:dyDescent="0.3">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57.6" x14ac:dyDescent="0.3">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x14ac:dyDescent="0.3">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x14ac:dyDescent="0.3">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x14ac:dyDescent="0.3">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x14ac:dyDescent="0.3">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55" customHeight="1" x14ac:dyDescent="0.3">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x14ac:dyDescent="0.3">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x14ac:dyDescent="0.3">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x14ac:dyDescent="0.3">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x14ac:dyDescent="0.3">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x14ac:dyDescent="0.3">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x14ac:dyDescent="0.3">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x14ac:dyDescent="0.3">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x14ac:dyDescent="0.3">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x14ac:dyDescent="0.3">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x14ac:dyDescent="0.3">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x14ac:dyDescent="0.3">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x14ac:dyDescent="0.3">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x14ac:dyDescent="0.3">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x14ac:dyDescent="0.3">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x14ac:dyDescent="0.3">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x14ac:dyDescent="0.3">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x14ac:dyDescent="0.3">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x14ac:dyDescent="0.3">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x14ac:dyDescent="0.3">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x14ac:dyDescent="0.3">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x14ac:dyDescent="0.3">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x14ac:dyDescent="0.3">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x14ac:dyDescent="0.3">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x14ac:dyDescent="0.3">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x14ac:dyDescent="0.3">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x14ac:dyDescent="0.3">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x14ac:dyDescent="0.3">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x14ac:dyDescent="0.3">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x14ac:dyDescent="0.3">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x14ac:dyDescent="0.3">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x14ac:dyDescent="0.3">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x14ac:dyDescent="0.3">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x14ac:dyDescent="0.3">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x14ac:dyDescent="0.3">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x14ac:dyDescent="0.3">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x14ac:dyDescent="0.3">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x14ac:dyDescent="0.3">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x14ac:dyDescent="0.3">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x14ac:dyDescent="0.3">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x14ac:dyDescent="0.3">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x14ac:dyDescent="0.3">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x14ac:dyDescent="0.3">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x14ac:dyDescent="0.3">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x14ac:dyDescent="0.3">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x14ac:dyDescent="0.3">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x14ac:dyDescent="0.3">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x14ac:dyDescent="0.3">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x14ac:dyDescent="0.3">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x14ac:dyDescent="0.3">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x14ac:dyDescent="0.3">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x14ac:dyDescent="0.3">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x14ac:dyDescent="0.3">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x14ac:dyDescent="0.3">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x14ac:dyDescent="0.3">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x14ac:dyDescent="0.3">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x14ac:dyDescent="0.3">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x14ac:dyDescent="0.3">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x14ac:dyDescent="0.3">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x14ac:dyDescent="0.3">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x14ac:dyDescent="0.3">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x14ac:dyDescent="0.3">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x14ac:dyDescent="0.3">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x14ac:dyDescent="0.3">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x14ac:dyDescent="0.3">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x14ac:dyDescent="0.3">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x14ac:dyDescent="0.3">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x14ac:dyDescent="0.3">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x14ac:dyDescent="0.3">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x14ac:dyDescent="0.3">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x14ac:dyDescent="0.3">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x14ac:dyDescent="0.3">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x14ac:dyDescent="0.3">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x14ac:dyDescent="0.3">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x14ac:dyDescent="0.3">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x14ac:dyDescent="0.3">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x14ac:dyDescent="0.3">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x14ac:dyDescent="0.3">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x14ac:dyDescent="0.3">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x14ac:dyDescent="0.3">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x14ac:dyDescent="0.3">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x14ac:dyDescent="0.3">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x14ac:dyDescent="0.3">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x14ac:dyDescent="0.3">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x14ac:dyDescent="0.3">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x14ac:dyDescent="0.3">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x14ac:dyDescent="0.3">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x14ac:dyDescent="0.3">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x14ac:dyDescent="0.3">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x14ac:dyDescent="0.3">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x14ac:dyDescent="0.3">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x14ac:dyDescent="0.3">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x14ac:dyDescent="0.3">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x14ac:dyDescent="0.3">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x14ac:dyDescent="0.3">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x14ac:dyDescent="0.3">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x14ac:dyDescent="0.3">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x14ac:dyDescent="0.3">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x14ac:dyDescent="0.3">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x14ac:dyDescent="0.3">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x14ac:dyDescent="0.3">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x14ac:dyDescent="0.3">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x14ac:dyDescent="0.3">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x14ac:dyDescent="0.3">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x14ac:dyDescent="0.3">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x14ac:dyDescent="0.3">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x14ac:dyDescent="0.3">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x14ac:dyDescent="0.3">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x14ac:dyDescent="0.3">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x14ac:dyDescent="0.3">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x14ac:dyDescent="0.3">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x14ac:dyDescent="0.3">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x14ac:dyDescent="0.3">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x14ac:dyDescent="0.3">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x14ac:dyDescent="0.3">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x14ac:dyDescent="0.3">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x14ac:dyDescent="0.3">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x14ac:dyDescent="0.3">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x14ac:dyDescent="0.3">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x14ac:dyDescent="0.3">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x14ac:dyDescent="0.3">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x14ac:dyDescent="0.3">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x14ac:dyDescent="0.3">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x14ac:dyDescent="0.3">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x14ac:dyDescent="0.3">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x14ac:dyDescent="0.3">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x14ac:dyDescent="0.3">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x14ac:dyDescent="0.3">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x14ac:dyDescent="0.3">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x14ac:dyDescent="0.3">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x14ac:dyDescent="0.3">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x14ac:dyDescent="0.3">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x14ac:dyDescent="0.3">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x14ac:dyDescent="0.3">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x14ac:dyDescent="0.3">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x14ac:dyDescent="0.3">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x14ac:dyDescent="0.3">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x14ac:dyDescent="0.3">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x14ac:dyDescent="0.3">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x14ac:dyDescent="0.3">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x14ac:dyDescent="0.3">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x14ac:dyDescent="0.3">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x14ac:dyDescent="0.3">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x14ac:dyDescent="0.3">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x14ac:dyDescent="0.3">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x14ac:dyDescent="0.3">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x14ac:dyDescent="0.3">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x14ac:dyDescent="0.3">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x14ac:dyDescent="0.3">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x14ac:dyDescent="0.3">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x14ac:dyDescent="0.3">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x14ac:dyDescent="0.3">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x14ac:dyDescent="0.3">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x14ac:dyDescent="0.3">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x14ac:dyDescent="0.3">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x14ac:dyDescent="0.3">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x14ac:dyDescent="0.3">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x14ac:dyDescent="0.3">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x14ac:dyDescent="0.3">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x14ac:dyDescent="0.3">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x14ac:dyDescent="0.3">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x14ac:dyDescent="0.3">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x14ac:dyDescent="0.3">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x14ac:dyDescent="0.3">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x14ac:dyDescent="0.3">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x14ac:dyDescent="0.3">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x14ac:dyDescent="0.3">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x14ac:dyDescent="0.3">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x14ac:dyDescent="0.3">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x14ac:dyDescent="0.3">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x14ac:dyDescent="0.3">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x14ac:dyDescent="0.3">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x14ac:dyDescent="0.3">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x14ac:dyDescent="0.3">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x14ac:dyDescent="0.3">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x14ac:dyDescent="0.3">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x14ac:dyDescent="0.3">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x14ac:dyDescent="0.3">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x14ac:dyDescent="0.3">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x14ac:dyDescent="0.3">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x14ac:dyDescent="0.3">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x14ac:dyDescent="0.3">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x14ac:dyDescent="0.3">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x14ac:dyDescent="0.3">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x14ac:dyDescent="0.3">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x14ac:dyDescent="0.3">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x14ac:dyDescent="0.3">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x14ac:dyDescent="0.3">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x14ac:dyDescent="0.3">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x14ac:dyDescent="0.3">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x14ac:dyDescent="0.3">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x14ac:dyDescent="0.3">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x14ac:dyDescent="0.3">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x14ac:dyDescent="0.3">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x14ac:dyDescent="0.3">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x14ac:dyDescent="0.3">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x14ac:dyDescent="0.3">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x14ac:dyDescent="0.3">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x14ac:dyDescent="0.3">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x14ac:dyDescent="0.3">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x14ac:dyDescent="0.3">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x14ac:dyDescent="0.3">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x14ac:dyDescent="0.3">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x14ac:dyDescent="0.3">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x14ac:dyDescent="0.3">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x14ac:dyDescent="0.3">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x14ac:dyDescent="0.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3">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3">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3">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21875" defaultRowHeight="14.4" x14ac:dyDescent="0.3"/>
  <cols>
    <col min="1" max="2" width="9.21875" style="25"/>
    <col min="3" max="3" width="34.21875" style="25" customWidth="1"/>
    <col min="4" max="4" width="45.44140625" style="25" customWidth="1"/>
    <col min="5" max="5" width="38.77734375" style="25" customWidth="1"/>
    <col min="6" max="16384" width="9.21875" style="25"/>
  </cols>
  <sheetData>
    <row r="2" spans="3:5" ht="15" thickBot="1" x14ac:dyDescent="0.35"/>
    <row r="3" spans="3:5" x14ac:dyDescent="0.3">
      <c r="C3" s="1053" t="s">
        <v>1020</v>
      </c>
      <c r="D3" s="747"/>
      <c r="E3" s="748"/>
    </row>
    <row r="4" spans="3:5" x14ac:dyDescent="0.3">
      <c r="C4" s="91" t="s">
        <v>1019</v>
      </c>
      <c r="D4" s="49" t="s">
        <v>1021</v>
      </c>
      <c r="E4" s="92" t="s">
        <v>1022</v>
      </c>
    </row>
    <row r="5" spans="3:5" x14ac:dyDescent="0.3">
      <c r="C5" s="226" t="s">
        <v>1018</v>
      </c>
      <c r="D5" s="7" t="s">
        <v>1023</v>
      </c>
      <c r="E5" s="233" t="s">
        <v>1024</v>
      </c>
    </row>
    <row r="6" spans="3:5" ht="28.8" x14ac:dyDescent="0.3">
      <c r="C6" s="226" t="s">
        <v>1025</v>
      </c>
      <c r="D6" s="9" t="s">
        <v>1040</v>
      </c>
      <c r="E6" s="233" t="s">
        <v>1026</v>
      </c>
    </row>
    <row r="7" spans="3:5" ht="28.8" x14ac:dyDescent="0.3">
      <c r="C7" s="226" t="s">
        <v>1027</v>
      </c>
      <c r="D7" s="9" t="s">
        <v>1028</v>
      </c>
      <c r="E7" s="233" t="s">
        <v>1029</v>
      </c>
    </row>
    <row r="8" spans="3:5" ht="101.4" thickBot="1" x14ac:dyDescent="0.35">
      <c r="C8" s="228" t="s">
        <v>1030</v>
      </c>
      <c r="D8" s="242" t="s">
        <v>1041</v>
      </c>
      <c r="E8" s="565" t="s">
        <v>1043</v>
      </c>
    </row>
    <row r="9" spans="3:5" ht="29.4" thickBot="1" x14ac:dyDescent="0.35">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x14ac:dyDescent="0.3"/>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16384" width="8.77734375" hidden="1"/>
  </cols>
  <sheetData>
    <row r="1" spans="1:8" ht="15" thickBot="1" x14ac:dyDescent="0.35">
      <c r="A1" s="60"/>
      <c r="B1" s="60"/>
      <c r="C1" s="60"/>
      <c r="D1" s="60"/>
      <c r="E1" s="60"/>
      <c r="F1" s="60"/>
      <c r="G1" s="60"/>
      <c r="H1" s="60"/>
    </row>
    <row r="2" spans="1:8" ht="19.2" customHeight="1" thickBot="1" x14ac:dyDescent="0.35">
      <c r="A2" s="25"/>
      <c r="B2" s="252" t="s">
        <v>863</v>
      </c>
      <c r="C2" s="253" t="s">
        <v>864</v>
      </c>
      <c r="D2" s="253" t="s">
        <v>865</v>
      </c>
      <c r="E2" s="254" t="s">
        <v>866</v>
      </c>
      <c r="F2" s="255" t="s">
        <v>85</v>
      </c>
      <c r="G2" s="60"/>
      <c r="H2" s="60"/>
    </row>
    <row r="3" spans="1:8" ht="21.6" customHeight="1" thickBot="1" x14ac:dyDescent="0.35">
      <c r="A3" s="25"/>
      <c r="B3" s="248" t="s">
        <v>867</v>
      </c>
      <c r="C3" s="256" t="s">
        <v>868</v>
      </c>
      <c r="D3" s="256" t="s">
        <v>869</v>
      </c>
      <c r="E3" s="249" t="s">
        <v>870</v>
      </c>
      <c r="F3" s="250" t="s">
        <v>205</v>
      </c>
      <c r="G3" s="25"/>
      <c r="H3" s="25"/>
    </row>
    <row r="4" spans="1:8" x14ac:dyDescent="0.3">
      <c r="A4" s="25"/>
      <c r="B4" s="1054" t="s">
        <v>202</v>
      </c>
      <c r="C4" s="1057" t="s">
        <v>202</v>
      </c>
      <c r="D4" s="257" t="s">
        <v>871</v>
      </c>
      <c r="E4" s="239" t="s">
        <v>301</v>
      </c>
      <c r="F4" s="240" t="s">
        <v>203</v>
      </c>
      <c r="G4" s="25"/>
      <c r="H4" s="25"/>
    </row>
    <row r="5" spans="1:8" x14ac:dyDescent="0.3">
      <c r="A5" s="25"/>
      <c r="B5" s="1055"/>
      <c r="C5" s="1058"/>
      <c r="D5" s="7" t="s">
        <v>872</v>
      </c>
      <c r="E5" s="9" t="s">
        <v>873</v>
      </c>
      <c r="F5" s="241" t="s">
        <v>203</v>
      </c>
      <c r="G5" s="25"/>
      <c r="H5" s="25"/>
    </row>
    <row r="6" spans="1:8" x14ac:dyDescent="0.3">
      <c r="A6" s="25"/>
      <c r="B6" s="1055"/>
      <c r="C6" s="1058"/>
      <c r="D6" s="7" t="s">
        <v>874</v>
      </c>
      <c r="E6" s="9" t="s">
        <v>306</v>
      </c>
      <c r="F6" s="241" t="s">
        <v>203</v>
      </c>
      <c r="G6" s="25"/>
      <c r="H6" s="25"/>
    </row>
    <row r="7" spans="1:8" x14ac:dyDescent="0.3">
      <c r="A7" s="25"/>
      <c r="B7" s="1055"/>
      <c r="C7" s="1058"/>
      <c r="D7" s="7" t="s">
        <v>875</v>
      </c>
      <c r="E7" s="9" t="s">
        <v>307</v>
      </c>
      <c r="F7" s="241" t="s">
        <v>203</v>
      </c>
      <c r="G7" s="25"/>
      <c r="H7" s="25"/>
    </row>
    <row r="8" spans="1:8" x14ac:dyDescent="0.3">
      <c r="A8" s="25"/>
      <c r="B8" s="1055"/>
      <c r="C8" s="1058" t="s">
        <v>876</v>
      </c>
      <c r="D8" s="7" t="s">
        <v>877</v>
      </c>
      <c r="E8" s="9" t="s">
        <v>296</v>
      </c>
      <c r="F8" s="245" t="s">
        <v>205</v>
      </c>
      <c r="G8" s="25"/>
      <c r="H8" s="25"/>
    </row>
    <row r="9" spans="1:8" x14ac:dyDescent="0.3">
      <c r="A9" s="25"/>
      <c r="B9" s="1055"/>
      <c r="C9" s="1058"/>
      <c r="D9" s="7" t="s">
        <v>878</v>
      </c>
      <c r="E9" s="9" t="s">
        <v>298</v>
      </c>
      <c r="F9" s="245" t="s">
        <v>205</v>
      </c>
      <c r="G9" s="25"/>
      <c r="H9" s="25"/>
    </row>
    <row r="10" spans="1:8" x14ac:dyDescent="0.3">
      <c r="A10" s="25"/>
      <c r="B10" s="1055"/>
      <c r="C10" s="1058"/>
      <c r="D10" s="7" t="s">
        <v>879</v>
      </c>
      <c r="E10" s="9" t="s">
        <v>880</v>
      </c>
      <c r="F10" s="245" t="s">
        <v>205</v>
      </c>
      <c r="G10" s="25"/>
      <c r="H10" s="25"/>
    </row>
    <row r="11" spans="1:8" x14ac:dyDescent="0.3">
      <c r="A11" s="25"/>
      <c r="B11" s="1055"/>
      <c r="C11" s="1058"/>
      <c r="D11" s="7" t="s">
        <v>881</v>
      </c>
      <c r="E11" s="9" t="s">
        <v>300</v>
      </c>
      <c r="F11" s="245" t="s">
        <v>205</v>
      </c>
      <c r="G11" s="25"/>
      <c r="H11" s="25"/>
    </row>
    <row r="12" spans="1:8" x14ac:dyDescent="0.3">
      <c r="A12" s="25"/>
      <c r="B12" s="1055"/>
      <c r="C12" s="1058"/>
      <c r="D12" s="7" t="s">
        <v>882</v>
      </c>
      <c r="E12" s="9" t="s">
        <v>883</v>
      </c>
      <c r="F12" s="245" t="s">
        <v>205</v>
      </c>
      <c r="G12" s="25"/>
      <c r="H12" s="25"/>
    </row>
    <row r="13" spans="1:8" x14ac:dyDescent="0.3">
      <c r="A13" s="25"/>
      <c r="B13" s="1055"/>
      <c r="C13" s="7" t="s">
        <v>304</v>
      </c>
      <c r="D13" s="7" t="s">
        <v>884</v>
      </c>
      <c r="E13" s="9" t="s">
        <v>304</v>
      </c>
      <c r="F13" s="241" t="s">
        <v>203</v>
      </c>
      <c r="G13" s="25"/>
      <c r="H13" s="25"/>
    </row>
    <row r="14" spans="1:8" ht="15" thickBot="1" x14ac:dyDescent="0.35">
      <c r="A14" s="25"/>
      <c r="B14" s="1056"/>
      <c r="C14" s="229" t="s">
        <v>885</v>
      </c>
      <c r="D14" s="229" t="s">
        <v>886</v>
      </c>
      <c r="E14" s="242" t="s">
        <v>305</v>
      </c>
      <c r="F14" s="243" t="s">
        <v>203</v>
      </c>
      <c r="G14" s="25"/>
      <c r="H14" s="25"/>
    </row>
    <row r="15" spans="1:8" x14ac:dyDescent="0.3">
      <c r="A15" s="25"/>
      <c r="B15" s="1054" t="s">
        <v>887</v>
      </c>
      <c r="C15" s="257" t="s">
        <v>888</v>
      </c>
      <c r="D15" s="257" t="s">
        <v>889</v>
      </c>
      <c r="E15" s="239" t="s">
        <v>309</v>
      </c>
      <c r="F15" s="240" t="s">
        <v>203</v>
      </c>
      <c r="G15" s="25"/>
      <c r="H15" s="25"/>
    </row>
    <row r="16" spans="1:8" x14ac:dyDescent="0.3">
      <c r="A16" s="25"/>
      <c r="B16" s="1055"/>
      <c r="C16" s="7" t="s">
        <v>308</v>
      </c>
      <c r="D16" s="7" t="s">
        <v>890</v>
      </c>
      <c r="E16" s="9" t="s">
        <v>308</v>
      </c>
      <c r="F16" s="241" t="s">
        <v>203</v>
      </c>
      <c r="G16" s="25"/>
      <c r="H16" s="25"/>
    </row>
    <row r="17" spans="1:8" x14ac:dyDescent="0.3">
      <c r="A17" s="25"/>
      <c r="B17" s="1055"/>
      <c r="C17" s="1058" t="s">
        <v>891</v>
      </c>
      <c r="D17" s="7" t="s">
        <v>892</v>
      </c>
      <c r="E17" s="9" t="s">
        <v>310</v>
      </c>
      <c r="F17" s="245" t="s">
        <v>205</v>
      </c>
      <c r="G17" s="25"/>
      <c r="H17" s="25"/>
    </row>
    <row r="18" spans="1:8" x14ac:dyDescent="0.3">
      <c r="A18" s="25"/>
      <c r="B18" s="1055"/>
      <c r="C18" s="1058"/>
      <c r="D18" s="7" t="s">
        <v>893</v>
      </c>
      <c r="E18" s="9" t="s">
        <v>311</v>
      </c>
      <c r="F18" s="245" t="s">
        <v>205</v>
      </c>
      <c r="G18" s="25"/>
      <c r="H18" s="25"/>
    </row>
    <row r="19" spans="1:8" ht="15" thickBot="1" x14ac:dyDescent="0.35">
      <c r="A19" s="25"/>
      <c r="B19" s="1056"/>
      <c r="C19" s="1059"/>
      <c r="D19" s="229" t="s">
        <v>894</v>
      </c>
      <c r="E19" s="242" t="s">
        <v>312</v>
      </c>
      <c r="F19" s="246" t="s">
        <v>205</v>
      </c>
      <c r="G19" s="25"/>
      <c r="H19" s="25"/>
    </row>
    <row r="20" spans="1:8" x14ac:dyDescent="0.3">
      <c r="A20" s="25"/>
      <c r="B20" s="1054" t="s">
        <v>207</v>
      </c>
      <c r="C20" s="257" t="s">
        <v>895</v>
      </c>
      <c r="D20" s="257" t="s">
        <v>896</v>
      </c>
      <c r="E20" s="239" t="s">
        <v>319</v>
      </c>
      <c r="F20" s="240" t="s">
        <v>203</v>
      </c>
      <c r="G20" s="25"/>
      <c r="H20" s="25"/>
    </row>
    <row r="21" spans="1:8" x14ac:dyDescent="0.3">
      <c r="A21" s="25"/>
      <c r="B21" s="1055"/>
      <c r="C21" s="1058" t="s">
        <v>897</v>
      </c>
      <c r="D21" s="7" t="s">
        <v>898</v>
      </c>
      <c r="E21" s="9" t="s">
        <v>313</v>
      </c>
      <c r="F21" s="245" t="s">
        <v>205</v>
      </c>
      <c r="G21" s="25"/>
      <c r="H21" s="25"/>
    </row>
    <row r="22" spans="1:8" x14ac:dyDescent="0.3">
      <c r="A22" s="25"/>
      <c r="B22" s="1055"/>
      <c r="C22" s="1058"/>
      <c r="D22" s="7" t="s">
        <v>899</v>
      </c>
      <c r="E22" s="9" t="s">
        <v>314</v>
      </c>
      <c r="F22" s="245" t="s">
        <v>205</v>
      </c>
      <c r="G22" s="25"/>
      <c r="H22" s="25"/>
    </row>
    <row r="23" spans="1:8" x14ac:dyDescent="0.3">
      <c r="A23" s="25"/>
      <c r="B23" s="1055"/>
      <c r="C23" s="1058"/>
      <c r="D23" s="7" t="s">
        <v>900</v>
      </c>
      <c r="E23" s="9" t="s">
        <v>315</v>
      </c>
      <c r="F23" s="245" t="s">
        <v>205</v>
      </c>
      <c r="G23" s="25"/>
      <c r="H23" s="25"/>
    </row>
    <row r="24" spans="1:8" x14ac:dyDescent="0.3">
      <c r="A24" s="25"/>
      <c r="B24" s="1055"/>
      <c r="C24" s="1058"/>
      <c r="D24" s="7" t="s">
        <v>901</v>
      </c>
      <c r="E24" s="9" t="s">
        <v>316</v>
      </c>
      <c r="F24" s="245" t="s">
        <v>205</v>
      </c>
      <c r="G24" s="25"/>
      <c r="H24" s="25"/>
    </row>
    <row r="25" spans="1:8" x14ac:dyDescent="0.3">
      <c r="A25" s="25"/>
      <c r="B25" s="1055"/>
      <c r="C25" s="1058"/>
      <c r="D25" s="7" t="s">
        <v>902</v>
      </c>
      <c r="E25" s="9" t="s">
        <v>317</v>
      </c>
      <c r="F25" s="245" t="s">
        <v>205</v>
      </c>
      <c r="G25" s="25"/>
      <c r="H25" s="25"/>
    </row>
    <row r="26" spans="1:8" x14ac:dyDescent="0.3">
      <c r="A26" s="25"/>
      <c r="B26" s="1055"/>
      <c r="C26" s="1058"/>
      <c r="D26" s="7" t="s">
        <v>903</v>
      </c>
      <c r="E26" s="9" t="s">
        <v>318</v>
      </c>
      <c r="F26" s="245" t="s">
        <v>205</v>
      </c>
      <c r="G26" s="25"/>
      <c r="H26" s="25"/>
    </row>
    <row r="27" spans="1:8" ht="15" thickBot="1" x14ac:dyDescent="0.35">
      <c r="A27" s="25"/>
      <c r="B27" s="1056"/>
      <c r="C27" s="1059"/>
      <c r="D27" s="229" t="s">
        <v>904</v>
      </c>
      <c r="E27" s="242" t="s">
        <v>905</v>
      </c>
      <c r="F27" s="246" t="s">
        <v>205</v>
      </c>
      <c r="G27" s="25"/>
      <c r="H27" s="25"/>
    </row>
    <row r="28" spans="1:8" x14ac:dyDescent="0.3">
      <c r="A28" s="25"/>
      <c r="B28" s="1054" t="s">
        <v>906</v>
      </c>
      <c r="C28" s="1057" t="s">
        <v>907</v>
      </c>
      <c r="D28" s="257" t="s">
        <v>908</v>
      </c>
      <c r="E28" s="239" t="s">
        <v>909</v>
      </c>
      <c r="F28" s="240" t="s">
        <v>203</v>
      </c>
      <c r="G28" s="25"/>
      <c r="H28" s="25"/>
    </row>
    <row r="29" spans="1:8" x14ac:dyDescent="0.3">
      <c r="A29" s="25"/>
      <c r="B29" s="1055"/>
      <c r="C29" s="1058"/>
      <c r="D29" s="7" t="s">
        <v>910</v>
      </c>
      <c r="E29" s="9" t="s">
        <v>911</v>
      </c>
      <c r="F29" s="245" t="s">
        <v>205</v>
      </c>
      <c r="G29" s="25"/>
      <c r="H29" s="25"/>
    </row>
    <row r="30" spans="1:8" x14ac:dyDescent="0.3">
      <c r="A30" s="25"/>
      <c r="B30" s="1055"/>
      <c r="C30" s="1058"/>
      <c r="D30" s="7" t="s">
        <v>912</v>
      </c>
      <c r="E30" s="9" t="s">
        <v>913</v>
      </c>
      <c r="F30" s="245" t="s">
        <v>205</v>
      </c>
      <c r="G30" s="25"/>
      <c r="H30" s="25"/>
    </row>
    <row r="31" spans="1:8" x14ac:dyDescent="0.3">
      <c r="A31" s="25"/>
      <c r="B31" s="1055"/>
      <c r="C31" s="1058" t="s">
        <v>914</v>
      </c>
      <c r="D31" s="7" t="s">
        <v>915</v>
      </c>
      <c r="E31" s="9" t="s">
        <v>916</v>
      </c>
      <c r="F31" s="241" t="s">
        <v>203</v>
      </c>
      <c r="G31" s="25"/>
      <c r="H31" s="25"/>
    </row>
    <row r="32" spans="1:8" x14ac:dyDescent="0.3">
      <c r="A32" s="25"/>
      <c r="B32" s="1055"/>
      <c r="C32" s="1058"/>
      <c r="D32" s="7" t="s">
        <v>917</v>
      </c>
      <c r="E32" s="9" t="s">
        <v>918</v>
      </c>
      <c r="F32" s="245" t="s">
        <v>205</v>
      </c>
      <c r="G32" s="25"/>
      <c r="H32" s="25"/>
    </row>
    <row r="33" spans="1:8" x14ac:dyDescent="0.3">
      <c r="A33" s="25"/>
      <c r="B33" s="1055"/>
      <c r="C33" s="1058"/>
      <c r="D33" s="7" t="s">
        <v>919</v>
      </c>
      <c r="E33" s="9" t="s">
        <v>920</v>
      </c>
      <c r="F33" s="245" t="s">
        <v>205</v>
      </c>
      <c r="G33" s="25"/>
      <c r="H33" s="25"/>
    </row>
    <row r="34" spans="1:8" x14ac:dyDescent="0.3">
      <c r="A34" s="25"/>
      <c r="B34" s="1055"/>
      <c r="C34" s="7" t="s">
        <v>921</v>
      </c>
      <c r="D34" s="7" t="s">
        <v>922</v>
      </c>
      <c r="E34" s="9" t="s">
        <v>923</v>
      </c>
      <c r="F34" s="247" t="s">
        <v>331</v>
      </c>
      <c r="G34" s="25"/>
      <c r="H34" s="25"/>
    </row>
    <row r="35" spans="1:8" x14ac:dyDescent="0.3">
      <c r="A35" s="25"/>
      <c r="B35" s="1055"/>
      <c r="C35" s="1058" t="s">
        <v>924</v>
      </c>
      <c r="D35" s="7" t="s">
        <v>925</v>
      </c>
      <c r="E35" s="9" t="s">
        <v>926</v>
      </c>
      <c r="F35" s="241" t="s">
        <v>203</v>
      </c>
      <c r="G35" s="25"/>
      <c r="H35" s="25"/>
    </row>
    <row r="36" spans="1:8" x14ac:dyDescent="0.3">
      <c r="A36" s="25"/>
      <c r="B36" s="1055"/>
      <c r="C36" s="1058"/>
      <c r="D36" s="7" t="s">
        <v>927</v>
      </c>
      <c r="E36" s="9" t="s">
        <v>928</v>
      </c>
      <c r="F36" s="241" t="s">
        <v>203</v>
      </c>
      <c r="G36" s="25"/>
      <c r="H36" s="25"/>
    </row>
    <row r="37" spans="1:8" x14ac:dyDescent="0.3">
      <c r="A37" s="25"/>
      <c r="B37" s="1055"/>
      <c r="C37" s="1058"/>
      <c r="D37" s="7" t="s">
        <v>929</v>
      </c>
      <c r="E37" s="9" t="s">
        <v>930</v>
      </c>
      <c r="F37" s="245" t="s">
        <v>205</v>
      </c>
      <c r="G37" s="25"/>
      <c r="H37" s="25"/>
    </row>
    <row r="38" spans="1:8" ht="15" thickBot="1" x14ac:dyDescent="0.35">
      <c r="A38" s="25"/>
      <c r="B38" s="1056"/>
      <c r="C38" s="1059"/>
      <c r="D38" s="229" t="s">
        <v>931</v>
      </c>
      <c r="E38" s="242" t="s">
        <v>932</v>
      </c>
      <c r="F38" s="246" t="s">
        <v>205</v>
      </c>
      <c r="G38" s="25"/>
      <c r="H38" s="25"/>
    </row>
    <row r="39" spans="1:8" x14ac:dyDescent="0.3">
      <c r="A39" s="25"/>
      <c r="B39" s="1060" t="s">
        <v>933</v>
      </c>
      <c r="C39" s="257" t="s">
        <v>934</v>
      </c>
      <c r="D39" s="257" t="s">
        <v>935</v>
      </c>
      <c r="E39" s="239" t="s">
        <v>366</v>
      </c>
      <c r="F39" s="240" t="s">
        <v>936</v>
      </c>
      <c r="G39" s="25"/>
      <c r="H39" s="25"/>
    </row>
    <row r="40" spans="1:8" x14ac:dyDescent="0.3">
      <c r="A40" s="25"/>
      <c r="B40" s="1061"/>
      <c r="C40" s="7" t="s">
        <v>934</v>
      </c>
      <c r="D40" s="7" t="s">
        <v>937</v>
      </c>
      <c r="E40" s="9" t="s">
        <v>365</v>
      </c>
      <c r="F40" s="241" t="s">
        <v>936</v>
      </c>
      <c r="G40" s="25"/>
      <c r="H40" s="25"/>
    </row>
    <row r="41" spans="1:8" ht="29.4" thickBot="1" x14ac:dyDescent="0.35">
      <c r="A41" s="25"/>
      <c r="B41" s="1062"/>
      <c r="C41" s="229" t="s">
        <v>934</v>
      </c>
      <c r="D41" s="229" t="s">
        <v>938</v>
      </c>
      <c r="E41" s="242" t="s">
        <v>939</v>
      </c>
      <c r="F41" s="246" t="s">
        <v>205</v>
      </c>
      <c r="G41" s="25"/>
      <c r="H41" s="25"/>
    </row>
    <row r="42" spans="1:8" x14ac:dyDescent="0.3">
      <c r="A42" s="25"/>
      <c r="B42" s="1054" t="s">
        <v>209</v>
      </c>
      <c r="C42" s="257" t="s">
        <v>934</v>
      </c>
      <c r="D42" s="257" t="s">
        <v>940</v>
      </c>
      <c r="E42" s="239" t="s">
        <v>363</v>
      </c>
      <c r="F42" s="240" t="s">
        <v>936</v>
      </c>
      <c r="G42" s="25"/>
      <c r="H42" s="25"/>
    </row>
    <row r="43" spans="1:8" x14ac:dyDescent="0.3">
      <c r="A43" s="25"/>
      <c r="B43" s="1055"/>
      <c r="C43" s="7" t="s">
        <v>934</v>
      </c>
      <c r="D43" s="7" t="s">
        <v>941</v>
      </c>
      <c r="E43" s="9" t="s">
        <v>357</v>
      </c>
      <c r="F43" s="241" t="s">
        <v>936</v>
      </c>
      <c r="G43" s="25"/>
      <c r="H43" s="25"/>
    </row>
    <row r="44" spans="1:8" x14ac:dyDescent="0.3">
      <c r="A44" s="25"/>
      <c r="B44" s="1055"/>
      <c r="C44" s="7" t="s">
        <v>934</v>
      </c>
      <c r="D44" s="7" t="s">
        <v>942</v>
      </c>
      <c r="E44" s="9" t="s">
        <v>361</v>
      </c>
      <c r="F44" s="241" t="s">
        <v>936</v>
      </c>
      <c r="G44" s="25"/>
      <c r="H44" s="25"/>
    </row>
    <row r="45" spans="1:8" x14ac:dyDescent="0.3">
      <c r="A45" s="25"/>
      <c r="B45" s="1055"/>
      <c r="C45" s="7" t="s">
        <v>934</v>
      </c>
      <c r="D45" s="7" t="s">
        <v>943</v>
      </c>
      <c r="E45" s="9" t="s">
        <v>358</v>
      </c>
      <c r="F45" s="241" t="s">
        <v>203</v>
      </c>
      <c r="G45" s="25"/>
      <c r="H45" s="25"/>
    </row>
    <row r="46" spans="1:8" x14ac:dyDescent="0.3">
      <c r="A46" s="25"/>
      <c r="B46" s="1055"/>
      <c r="C46" s="7" t="s">
        <v>934</v>
      </c>
      <c r="D46" s="7" t="s">
        <v>944</v>
      </c>
      <c r="E46" s="9" t="s">
        <v>360</v>
      </c>
      <c r="F46" s="241" t="s">
        <v>936</v>
      </c>
      <c r="G46" s="25"/>
      <c r="H46" s="25"/>
    </row>
    <row r="47" spans="1:8" x14ac:dyDescent="0.3">
      <c r="A47" s="25"/>
      <c r="B47" s="1055"/>
      <c r="C47" s="7" t="s">
        <v>934</v>
      </c>
      <c r="D47" s="7" t="s">
        <v>945</v>
      </c>
      <c r="E47" s="9" t="s">
        <v>359</v>
      </c>
      <c r="F47" s="241" t="s">
        <v>203</v>
      </c>
      <c r="G47" s="25"/>
      <c r="H47" s="25"/>
    </row>
    <row r="48" spans="1:8" x14ac:dyDescent="0.3">
      <c r="A48" s="25"/>
      <c r="B48" s="1055"/>
      <c r="C48" s="7" t="s">
        <v>934</v>
      </c>
      <c r="D48" s="7" t="s">
        <v>946</v>
      </c>
      <c r="E48" s="9" t="s">
        <v>362</v>
      </c>
      <c r="F48" s="241" t="s">
        <v>936</v>
      </c>
      <c r="G48" s="25"/>
      <c r="H48" s="25"/>
    </row>
    <row r="49" spans="1:8" x14ac:dyDescent="0.3">
      <c r="A49" s="25"/>
      <c r="B49" s="1055"/>
      <c r="C49" s="7" t="s">
        <v>934</v>
      </c>
      <c r="D49" s="7" t="s">
        <v>947</v>
      </c>
      <c r="E49" s="9" t="s">
        <v>948</v>
      </c>
      <c r="F49" s="241" t="s">
        <v>203</v>
      </c>
      <c r="G49" s="25"/>
      <c r="H49" s="25"/>
    </row>
    <row r="50" spans="1:8" x14ac:dyDescent="0.3">
      <c r="A50" s="25"/>
      <c r="B50" s="1055"/>
      <c r="C50" s="7" t="s">
        <v>934</v>
      </c>
      <c r="D50" s="7" t="s">
        <v>949</v>
      </c>
      <c r="E50" s="9" t="s">
        <v>950</v>
      </c>
      <c r="F50" s="245" t="s">
        <v>205</v>
      </c>
      <c r="G50" s="25"/>
      <c r="H50" s="25"/>
    </row>
    <row r="51" spans="1:8" ht="15" thickBot="1" x14ac:dyDescent="0.35">
      <c r="A51" s="25"/>
      <c r="B51" s="1056"/>
      <c r="C51" s="229" t="s">
        <v>934</v>
      </c>
      <c r="D51" s="229" t="s">
        <v>951</v>
      </c>
      <c r="E51" s="242" t="s">
        <v>364</v>
      </c>
      <c r="F51" s="246" t="s">
        <v>205</v>
      </c>
      <c r="G51" s="25"/>
      <c r="H51" s="25"/>
    </row>
    <row r="52" spans="1:8" x14ac:dyDescent="0.3">
      <c r="A52" s="25"/>
      <c r="B52" s="1054" t="s">
        <v>210</v>
      </c>
      <c r="C52" s="257" t="s">
        <v>325</v>
      </c>
      <c r="D52" s="257" t="s">
        <v>952</v>
      </c>
      <c r="E52" s="239" t="s">
        <v>325</v>
      </c>
      <c r="F52" s="244" t="s">
        <v>205</v>
      </c>
      <c r="G52" s="25"/>
      <c r="H52" s="25"/>
    </row>
    <row r="53" spans="1:8" ht="15" thickBot="1" x14ac:dyDescent="0.35">
      <c r="A53" s="25"/>
      <c r="B53" s="1056"/>
      <c r="C53" s="229" t="s">
        <v>953</v>
      </c>
      <c r="D53" s="229" t="s">
        <v>954</v>
      </c>
      <c r="E53" s="242" t="s">
        <v>955</v>
      </c>
      <c r="F53" s="246" t="s">
        <v>205</v>
      </c>
      <c r="G53" s="25"/>
      <c r="H53" s="25"/>
    </row>
    <row r="54" spans="1:8" x14ac:dyDescent="0.3">
      <c r="A54" s="25"/>
      <c r="B54" s="1054" t="s">
        <v>956</v>
      </c>
      <c r="C54" s="257" t="s">
        <v>957</v>
      </c>
      <c r="D54" s="257" t="s">
        <v>958</v>
      </c>
      <c r="E54" s="239" t="s">
        <v>259</v>
      </c>
      <c r="F54" s="244" t="s">
        <v>205</v>
      </c>
      <c r="G54" s="25"/>
      <c r="H54" s="25"/>
    </row>
    <row r="55" spans="1:8" x14ac:dyDescent="0.3">
      <c r="A55" s="25"/>
      <c r="B55" s="1055"/>
      <c r="C55" s="7" t="s">
        <v>261</v>
      </c>
      <c r="D55" s="7" t="s">
        <v>959</v>
      </c>
      <c r="E55" s="9" t="s">
        <v>261</v>
      </c>
      <c r="F55" s="241" t="s">
        <v>203</v>
      </c>
      <c r="G55" s="25"/>
      <c r="H55" s="25"/>
    </row>
    <row r="56" spans="1:8" ht="15" thickBot="1" x14ac:dyDescent="0.35">
      <c r="A56" s="25"/>
      <c r="B56" s="1056"/>
      <c r="C56" s="229" t="s">
        <v>960</v>
      </c>
      <c r="D56" s="229" t="s">
        <v>961</v>
      </c>
      <c r="E56" s="242" t="s">
        <v>260</v>
      </c>
      <c r="F56" s="246" t="s">
        <v>205</v>
      </c>
      <c r="G56" s="25"/>
      <c r="H56" s="25"/>
    </row>
    <row r="57" spans="1:8" x14ac:dyDescent="0.3">
      <c r="A57" s="25"/>
      <c r="B57" s="1054" t="s">
        <v>211</v>
      </c>
      <c r="C57" s="257" t="s">
        <v>962</v>
      </c>
      <c r="D57" s="257" t="s">
        <v>963</v>
      </c>
      <c r="E57" s="239" t="s">
        <v>326</v>
      </c>
      <c r="F57" s="240" t="s">
        <v>203</v>
      </c>
      <c r="G57" s="25"/>
      <c r="H57" s="25"/>
    </row>
    <row r="58" spans="1:8" ht="15" thickBot="1" x14ac:dyDescent="0.35">
      <c r="A58" s="25"/>
      <c r="B58" s="1056"/>
      <c r="C58" s="229" t="s">
        <v>964</v>
      </c>
      <c r="D58" s="229" t="s">
        <v>965</v>
      </c>
      <c r="E58" s="242" t="s">
        <v>327</v>
      </c>
      <c r="F58" s="246" t="s">
        <v>205</v>
      </c>
      <c r="G58" s="25"/>
      <c r="H58" s="25"/>
    </row>
    <row r="59" spans="1:8" x14ac:dyDescent="0.3">
      <c r="A59" s="25"/>
      <c r="B59" s="1054" t="s">
        <v>212</v>
      </c>
      <c r="C59" s="257" t="s">
        <v>329</v>
      </c>
      <c r="D59" s="257" t="s">
        <v>966</v>
      </c>
      <c r="E59" s="239" t="s">
        <v>329</v>
      </c>
      <c r="F59" s="240" t="s">
        <v>203</v>
      </c>
      <c r="G59" s="25"/>
      <c r="H59" s="25"/>
    </row>
    <row r="60" spans="1:8" x14ac:dyDescent="0.3">
      <c r="A60" s="25"/>
      <c r="B60" s="1055"/>
      <c r="C60" s="7" t="s">
        <v>967</v>
      </c>
      <c r="D60" s="7" t="s">
        <v>968</v>
      </c>
      <c r="E60" s="9" t="s">
        <v>969</v>
      </c>
      <c r="F60" s="241" t="s">
        <v>203</v>
      </c>
      <c r="G60" s="25"/>
      <c r="H60" s="25"/>
    </row>
    <row r="61" spans="1:8" x14ac:dyDescent="0.3">
      <c r="A61" s="25"/>
      <c r="B61" s="1055"/>
      <c r="C61" s="7" t="s">
        <v>970</v>
      </c>
      <c r="D61" s="7" t="s">
        <v>971</v>
      </c>
      <c r="E61" s="9" t="s">
        <v>972</v>
      </c>
      <c r="F61" s="245" t="s">
        <v>205</v>
      </c>
      <c r="G61" s="25"/>
      <c r="H61" s="25"/>
    </row>
    <row r="62" spans="1:8" x14ac:dyDescent="0.3">
      <c r="A62" s="25"/>
      <c r="B62" s="1055"/>
      <c r="C62" s="7" t="s">
        <v>333</v>
      </c>
      <c r="D62" s="7" t="s">
        <v>973</v>
      </c>
      <c r="E62" s="9" t="s">
        <v>333</v>
      </c>
      <c r="F62" s="241" t="s">
        <v>203</v>
      </c>
      <c r="G62" s="25"/>
      <c r="H62" s="25"/>
    </row>
    <row r="63" spans="1:8" x14ac:dyDescent="0.3">
      <c r="A63" s="25"/>
      <c r="B63" s="1055"/>
      <c r="C63" s="7" t="s">
        <v>974</v>
      </c>
      <c r="D63" s="7" t="s">
        <v>975</v>
      </c>
      <c r="E63" s="9" t="s">
        <v>336</v>
      </c>
      <c r="F63" s="245" t="s">
        <v>205</v>
      </c>
      <c r="G63" s="25"/>
      <c r="H63" s="25"/>
    </row>
    <row r="64" spans="1:8" x14ac:dyDescent="0.3">
      <c r="A64" s="25"/>
      <c r="B64" s="1055"/>
      <c r="C64" s="1058" t="s">
        <v>976</v>
      </c>
      <c r="D64" s="7" t="s">
        <v>977</v>
      </c>
      <c r="E64" s="9" t="s">
        <v>349</v>
      </c>
      <c r="F64" s="241" t="s">
        <v>203</v>
      </c>
      <c r="G64" s="25"/>
      <c r="H64" s="25"/>
    </row>
    <row r="65" spans="1:8" x14ac:dyDescent="0.3">
      <c r="A65" s="25"/>
      <c r="B65" s="1055"/>
      <c r="C65" s="1058"/>
      <c r="D65" s="7" t="s">
        <v>978</v>
      </c>
      <c r="E65" s="9" t="s">
        <v>979</v>
      </c>
      <c r="F65" s="247" t="s">
        <v>331</v>
      </c>
      <c r="G65" s="25"/>
      <c r="H65" s="25"/>
    </row>
    <row r="66" spans="1:8" x14ac:dyDescent="0.3">
      <c r="A66" s="25"/>
      <c r="B66" s="1055"/>
      <c r="C66" s="7" t="s">
        <v>980</v>
      </c>
      <c r="D66" s="7" t="s">
        <v>981</v>
      </c>
      <c r="E66" s="9" t="s">
        <v>982</v>
      </c>
      <c r="F66" s="245" t="s">
        <v>205</v>
      </c>
      <c r="G66" s="25"/>
      <c r="H66" s="25"/>
    </row>
    <row r="67" spans="1:8" x14ac:dyDescent="0.3">
      <c r="A67" s="25"/>
      <c r="B67" s="1055"/>
      <c r="C67" s="7" t="s">
        <v>983</v>
      </c>
      <c r="D67" s="7" t="s">
        <v>984</v>
      </c>
      <c r="E67" s="9" t="s">
        <v>338</v>
      </c>
      <c r="F67" s="241" t="s">
        <v>203</v>
      </c>
      <c r="G67" s="25"/>
      <c r="H67" s="25"/>
    </row>
    <row r="68" spans="1:8" x14ac:dyDescent="0.3">
      <c r="A68" s="25"/>
      <c r="B68" s="1055"/>
      <c r="C68" s="1058" t="s">
        <v>985</v>
      </c>
      <c r="D68" s="7" t="s">
        <v>986</v>
      </c>
      <c r="E68" s="9" t="s">
        <v>339</v>
      </c>
      <c r="F68" s="241" t="s">
        <v>203</v>
      </c>
      <c r="G68" s="25"/>
      <c r="H68" s="25"/>
    </row>
    <row r="69" spans="1:8" x14ac:dyDescent="0.3">
      <c r="A69" s="25"/>
      <c r="B69" s="1055"/>
      <c r="C69" s="1058"/>
      <c r="D69" s="7" t="s">
        <v>987</v>
      </c>
      <c r="E69" s="9" t="s">
        <v>340</v>
      </c>
      <c r="F69" s="241" t="s">
        <v>203</v>
      </c>
      <c r="G69" s="25"/>
      <c r="H69" s="25"/>
    </row>
    <row r="70" spans="1:8" x14ac:dyDescent="0.3">
      <c r="A70" s="25"/>
      <c r="B70" s="1055"/>
      <c r="C70" s="7" t="s">
        <v>988</v>
      </c>
      <c r="D70" s="7" t="s">
        <v>989</v>
      </c>
      <c r="E70" s="9" t="s">
        <v>337</v>
      </c>
      <c r="F70" s="247" t="s">
        <v>331</v>
      </c>
      <c r="G70" s="25"/>
      <c r="H70" s="25"/>
    </row>
    <row r="71" spans="1:8" x14ac:dyDescent="0.3">
      <c r="A71" s="25"/>
      <c r="B71" s="1055"/>
      <c r="C71" s="7" t="s">
        <v>990</v>
      </c>
      <c r="D71" s="7" t="s">
        <v>991</v>
      </c>
      <c r="E71" s="9" t="s">
        <v>322</v>
      </c>
      <c r="F71" s="241" t="s">
        <v>203</v>
      </c>
      <c r="G71" s="25"/>
      <c r="H71" s="25"/>
    </row>
    <row r="72" spans="1:8" x14ac:dyDescent="0.3">
      <c r="A72" s="25"/>
      <c r="B72" s="1055"/>
      <c r="C72" s="7" t="s">
        <v>992</v>
      </c>
      <c r="D72" s="7" t="s">
        <v>993</v>
      </c>
      <c r="E72" s="9" t="s">
        <v>343</v>
      </c>
      <c r="F72" s="241" t="s">
        <v>203</v>
      </c>
      <c r="G72" s="25"/>
      <c r="H72" s="25"/>
    </row>
    <row r="73" spans="1:8" x14ac:dyDescent="0.3">
      <c r="A73" s="25"/>
      <c r="B73" s="1055"/>
      <c r="C73" s="7" t="s">
        <v>994</v>
      </c>
      <c r="D73" s="7" t="s">
        <v>995</v>
      </c>
      <c r="E73" s="9" t="s">
        <v>330</v>
      </c>
      <c r="F73" s="247" t="s">
        <v>331</v>
      </c>
      <c r="G73" s="25"/>
      <c r="H73" s="25"/>
    </row>
    <row r="74" spans="1:8" x14ac:dyDescent="0.3">
      <c r="A74" s="25"/>
      <c r="B74" s="1055"/>
      <c r="C74" s="7" t="s">
        <v>996</v>
      </c>
      <c r="D74" s="7" t="s">
        <v>997</v>
      </c>
      <c r="E74" s="9" t="s">
        <v>341</v>
      </c>
      <c r="F74" s="241" t="s">
        <v>203</v>
      </c>
      <c r="G74" s="25"/>
      <c r="H74" s="25"/>
    </row>
    <row r="75" spans="1:8" x14ac:dyDescent="0.3">
      <c r="A75" s="25"/>
      <c r="B75" s="1055"/>
      <c r="C75" s="7" t="s">
        <v>998</v>
      </c>
      <c r="D75" s="7" t="s">
        <v>999</v>
      </c>
      <c r="E75" s="9" t="s">
        <v>1000</v>
      </c>
      <c r="F75" s="241" t="s">
        <v>203</v>
      </c>
      <c r="G75" s="25"/>
      <c r="H75" s="25"/>
    </row>
    <row r="76" spans="1:8" x14ac:dyDescent="0.3">
      <c r="A76" s="25"/>
      <c r="B76" s="1055"/>
      <c r="C76" s="7" t="s">
        <v>1001</v>
      </c>
      <c r="D76" s="7" t="s">
        <v>1002</v>
      </c>
      <c r="E76" s="9" t="s">
        <v>1003</v>
      </c>
      <c r="F76" s="241" t="s">
        <v>203</v>
      </c>
      <c r="G76" s="25"/>
      <c r="H76" s="25"/>
    </row>
    <row r="77" spans="1:8" x14ac:dyDescent="0.3">
      <c r="A77" s="25"/>
      <c r="B77" s="1055"/>
      <c r="C77" s="1058" t="s">
        <v>1004</v>
      </c>
      <c r="D77" s="7" t="s">
        <v>1005</v>
      </c>
      <c r="E77" s="9" t="s">
        <v>344</v>
      </c>
      <c r="F77" s="241" t="s">
        <v>203</v>
      </c>
      <c r="G77" s="25"/>
      <c r="H77" s="25"/>
    </row>
    <row r="78" spans="1:8" x14ac:dyDescent="0.3">
      <c r="A78" s="25"/>
      <c r="B78" s="1055"/>
      <c r="C78" s="1058"/>
      <c r="D78" s="7" t="s">
        <v>1006</v>
      </c>
      <c r="E78" s="9" t="s">
        <v>1007</v>
      </c>
      <c r="F78" s="241" t="s">
        <v>203</v>
      </c>
      <c r="G78" s="25"/>
      <c r="H78" s="25"/>
    </row>
    <row r="79" spans="1:8" ht="15" thickBot="1" x14ac:dyDescent="0.35">
      <c r="A79" s="25"/>
      <c r="B79" s="1056"/>
      <c r="C79" s="229" t="s">
        <v>1008</v>
      </c>
      <c r="D79" s="229" t="s">
        <v>1009</v>
      </c>
      <c r="E79" s="242" t="s">
        <v>335</v>
      </c>
      <c r="F79" s="251" t="s">
        <v>331</v>
      </c>
      <c r="G79" s="25"/>
      <c r="H79" s="25"/>
    </row>
    <row r="80" spans="1:8" x14ac:dyDescent="0.3">
      <c r="A80" s="25"/>
      <c r="B80" s="1054" t="s">
        <v>213</v>
      </c>
      <c r="C80" s="1057" t="s">
        <v>1010</v>
      </c>
      <c r="D80" s="257" t="s">
        <v>1011</v>
      </c>
      <c r="E80" s="239" t="s">
        <v>351</v>
      </c>
      <c r="F80" s="240" t="s">
        <v>203</v>
      </c>
      <c r="G80" s="25"/>
      <c r="H80" s="25"/>
    </row>
    <row r="81" spans="1:8" x14ac:dyDescent="0.3">
      <c r="A81" s="25"/>
      <c r="B81" s="1055"/>
      <c r="C81" s="1058"/>
      <c r="D81" s="7" t="s">
        <v>1012</v>
      </c>
      <c r="E81" s="9" t="s">
        <v>1013</v>
      </c>
      <c r="F81" s="245" t="s">
        <v>205</v>
      </c>
      <c r="G81" s="25"/>
      <c r="H81" s="25"/>
    </row>
    <row r="82" spans="1:8" x14ac:dyDescent="0.3">
      <c r="A82" s="25"/>
      <c r="B82" s="1055"/>
      <c r="C82" s="7" t="s">
        <v>1014</v>
      </c>
      <c r="D82" s="7" t="s">
        <v>1015</v>
      </c>
      <c r="E82" s="9" t="s">
        <v>353</v>
      </c>
      <c r="F82" s="245" t="s">
        <v>205</v>
      </c>
      <c r="G82" s="25"/>
      <c r="H82" s="25"/>
    </row>
    <row r="83" spans="1:8" ht="15" thickBot="1" x14ac:dyDescent="0.35">
      <c r="A83" s="25"/>
      <c r="B83" s="1056"/>
      <c r="C83" s="229" t="s">
        <v>1016</v>
      </c>
      <c r="D83" s="229" t="s">
        <v>1017</v>
      </c>
      <c r="E83" s="242" t="s">
        <v>354</v>
      </c>
      <c r="F83" s="246" t="s">
        <v>205</v>
      </c>
      <c r="G83" s="25"/>
      <c r="H83" s="25"/>
    </row>
    <row r="84" spans="1:8" x14ac:dyDescent="0.3">
      <c r="A84" s="25"/>
      <c r="B84" s="25"/>
      <c r="C84" s="25"/>
      <c r="D84" s="25"/>
      <c r="E84" s="25"/>
      <c r="F84" s="25"/>
      <c r="G84" s="25"/>
      <c r="H84" s="25"/>
    </row>
    <row r="85" spans="1:8" x14ac:dyDescent="0.3">
      <c r="A85" s="25"/>
      <c r="B85" s="25"/>
      <c r="C85" s="25"/>
      <c r="D85" s="25"/>
      <c r="E85" s="25"/>
      <c r="F85" s="25"/>
      <c r="G85" s="25"/>
      <c r="H85" s="25"/>
    </row>
    <row r="86" spans="1:8" x14ac:dyDescent="0.3">
      <c r="A86" s="25"/>
      <c r="B86" s="25"/>
      <c r="C86" s="25"/>
      <c r="D86" s="25"/>
      <c r="E86" s="25"/>
      <c r="F86" s="25"/>
      <c r="G86" s="25"/>
      <c r="H86" s="25"/>
    </row>
    <row r="87" spans="1:8" x14ac:dyDescent="0.3">
      <c r="A87" s="25"/>
      <c r="B87" s="25"/>
      <c r="C87" s="25"/>
      <c r="D87" s="25"/>
      <c r="E87" s="25"/>
      <c r="F87" s="25"/>
      <c r="G87" s="25"/>
      <c r="H87" s="25"/>
    </row>
    <row r="88" spans="1:8" x14ac:dyDescent="0.3">
      <c r="A88" s="25"/>
      <c r="B88" s="25"/>
      <c r="C88" s="25"/>
      <c r="D88" s="25"/>
      <c r="E88" s="25"/>
      <c r="F88" s="25"/>
      <c r="G88" s="25"/>
      <c r="H88" s="25"/>
    </row>
    <row r="89" spans="1:8" hidden="1" x14ac:dyDescent="0.3">
      <c r="A89" s="25"/>
      <c r="B89" s="25"/>
      <c r="C89" s="25"/>
      <c r="D89" s="25"/>
      <c r="E89" s="25"/>
      <c r="F89" s="25"/>
      <c r="G89" s="25"/>
      <c r="H89" s="25"/>
    </row>
    <row r="90" spans="1:8" hidden="1" x14ac:dyDescent="0.3">
      <c r="A90" s="25"/>
      <c r="B90" s="25"/>
      <c r="C90" s="25"/>
      <c r="D90" s="25"/>
      <c r="E90" s="25"/>
      <c r="F90" s="25"/>
      <c r="G90" s="25"/>
      <c r="H90" s="25"/>
    </row>
    <row r="91" spans="1:8" hidden="1" x14ac:dyDescent="0.3">
      <c r="A91" s="25"/>
      <c r="B91" s="25"/>
      <c r="C91" s="25"/>
      <c r="D91" s="25"/>
      <c r="E91" s="25"/>
      <c r="F91" s="25"/>
      <c r="G91" s="25"/>
      <c r="H91" s="25"/>
    </row>
    <row r="92" spans="1:8" hidden="1" x14ac:dyDescent="0.3">
      <c r="A92" s="25"/>
      <c r="B92" s="25"/>
      <c r="C92" s="25"/>
      <c r="D92" s="25"/>
      <c r="E92" s="25"/>
      <c r="F92" s="25"/>
      <c r="G92" s="25"/>
      <c r="H92" s="25"/>
    </row>
    <row r="93" spans="1:8" hidden="1" x14ac:dyDescent="0.3">
      <c r="A93" s="25"/>
      <c r="B93" s="25"/>
      <c r="C93" s="25"/>
      <c r="D93" s="25"/>
      <c r="E93" s="25"/>
      <c r="F93" s="25"/>
      <c r="G93" s="25"/>
      <c r="H93" s="25"/>
    </row>
    <row r="94" spans="1:8" hidden="1" x14ac:dyDescent="0.3">
      <c r="A94" s="25"/>
      <c r="B94" s="25"/>
      <c r="C94" s="25"/>
      <c r="D94" s="25"/>
      <c r="E94" s="25"/>
      <c r="F94" s="25"/>
      <c r="G94" s="25"/>
      <c r="H94" s="25"/>
    </row>
    <row r="95" spans="1:8" hidden="1" x14ac:dyDescent="0.3">
      <c r="A95" s="25"/>
      <c r="B95" s="25"/>
      <c r="C95" s="25"/>
      <c r="D95" s="25"/>
      <c r="E95" s="25"/>
      <c r="F95" s="25"/>
      <c r="G95" s="25"/>
      <c r="H95" s="25"/>
    </row>
    <row r="96" spans="1:8" hidden="1" x14ac:dyDescent="0.3">
      <c r="A96" s="25"/>
      <c r="B96" s="25"/>
      <c r="C96" s="25"/>
      <c r="D96" s="25"/>
      <c r="E96" s="25"/>
      <c r="F96" s="25"/>
      <c r="G96" s="25"/>
      <c r="H96" s="25"/>
    </row>
    <row r="97" spans="1:8" hidden="1" x14ac:dyDescent="0.3">
      <c r="A97" s="25"/>
      <c r="B97" s="25"/>
      <c r="C97" s="25"/>
      <c r="D97" s="25"/>
      <c r="E97" s="25"/>
      <c r="F97" s="25"/>
      <c r="G97" s="25"/>
      <c r="H97" s="25"/>
    </row>
    <row r="98" spans="1:8" hidden="1" x14ac:dyDescent="0.3">
      <c r="A98" s="25"/>
      <c r="B98" s="25"/>
      <c r="C98" s="25"/>
      <c r="D98" s="25"/>
      <c r="E98" s="25"/>
      <c r="F98" s="25"/>
      <c r="G98" s="25"/>
      <c r="H98" s="25"/>
    </row>
    <row r="99" spans="1:8" hidden="1" x14ac:dyDescent="0.3">
      <c r="A99" s="25"/>
      <c r="B99" s="25"/>
      <c r="C99" s="25"/>
      <c r="D99" s="25"/>
      <c r="E99" s="25"/>
      <c r="F99" s="25"/>
      <c r="G99" s="25"/>
      <c r="H99" s="25"/>
    </row>
    <row r="100" spans="1:8" hidden="1" x14ac:dyDescent="0.3">
      <c r="A100" s="25"/>
      <c r="B100" s="25"/>
      <c r="C100" s="25"/>
      <c r="D100" s="25"/>
      <c r="E100" s="25"/>
      <c r="F100" s="25"/>
      <c r="G100" s="25"/>
      <c r="H100" s="25"/>
    </row>
    <row r="101" spans="1:8" hidden="1" x14ac:dyDescent="0.3">
      <c r="A101" s="25"/>
      <c r="B101" s="25"/>
      <c r="C101" s="25"/>
      <c r="D101" s="25"/>
      <c r="E101" s="25"/>
      <c r="F101" s="25"/>
      <c r="G101" s="25"/>
      <c r="H101" s="25"/>
    </row>
    <row r="102" spans="1:8" hidden="1" x14ac:dyDescent="0.3">
      <c r="A102" s="25"/>
      <c r="B102" s="25"/>
      <c r="C102" s="25"/>
      <c r="D102" s="25"/>
      <c r="E102" s="25"/>
      <c r="F102" s="25"/>
      <c r="G102" s="25"/>
      <c r="H102" s="25"/>
    </row>
    <row r="103" spans="1:8" hidden="1" x14ac:dyDescent="0.3">
      <c r="A103" s="25"/>
      <c r="B103" s="25"/>
      <c r="C103" s="25"/>
      <c r="D103" s="25"/>
      <c r="E103" s="25"/>
      <c r="F103" s="25"/>
      <c r="G103" s="25"/>
      <c r="H103" s="25"/>
    </row>
    <row r="104" spans="1:8" hidden="1" x14ac:dyDescent="0.3">
      <c r="A104" s="25"/>
      <c r="B104" s="25"/>
      <c r="C104" s="25"/>
      <c r="D104" s="25"/>
      <c r="E104" s="25"/>
      <c r="F104" s="25"/>
      <c r="G104" s="25"/>
      <c r="H104" s="25"/>
    </row>
    <row r="105" spans="1:8" hidden="1" x14ac:dyDescent="0.3">
      <c r="A105" s="25"/>
      <c r="B105" s="25"/>
      <c r="C105" s="25"/>
      <c r="D105" s="25"/>
      <c r="E105" s="25"/>
      <c r="F105" s="25"/>
      <c r="G105" s="25"/>
      <c r="H105" s="25"/>
    </row>
    <row r="106" spans="1:8" hidden="1" x14ac:dyDescent="0.3">
      <c r="A106" s="25"/>
      <c r="B106" s="25"/>
      <c r="C106" s="25"/>
      <c r="D106" s="25"/>
      <c r="E106" s="25"/>
      <c r="F106" s="25"/>
      <c r="G106" s="25"/>
      <c r="H106" s="25"/>
    </row>
    <row r="107" spans="1:8" hidden="1" x14ac:dyDescent="0.3">
      <c r="A107" s="25"/>
      <c r="B107" s="25"/>
      <c r="C107" s="25"/>
      <c r="D107" s="25"/>
      <c r="E107" s="25"/>
      <c r="F107" s="25"/>
      <c r="G107" s="25"/>
      <c r="H107" s="25"/>
    </row>
    <row r="108" spans="1:8" hidden="1" x14ac:dyDescent="0.3">
      <c r="A108" s="25"/>
      <c r="B108" s="25"/>
      <c r="C108" s="25"/>
      <c r="D108" s="25"/>
      <c r="E108" s="25"/>
      <c r="F108" s="25"/>
      <c r="G108" s="25"/>
      <c r="H108" s="25"/>
    </row>
    <row r="109" spans="1:8" hidden="1" x14ac:dyDescent="0.3">
      <c r="A109" s="25"/>
      <c r="B109" s="25"/>
      <c r="C109" s="25"/>
      <c r="D109" s="25"/>
      <c r="E109" s="25"/>
      <c r="F109" s="25"/>
      <c r="G109" s="25"/>
      <c r="H109" s="25"/>
    </row>
    <row r="110" spans="1:8" hidden="1" x14ac:dyDescent="0.3">
      <c r="A110" s="25"/>
      <c r="B110" s="25"/>
      <c r="C110" s="25"/>
      <c r="D110" s="25"/>
      <c r="E110" s="25"/>
      <c r="F110" s="25"/>
      <c r="G110" s="25"/>
      <c r="H110" s="25"/>
    </row>
    <row r="111" spans="1:8" hidden="1" x14ac:dyDescent="0.3">
      <c r="A111" s="25"/>
      <c r="B111" s="25"/>
      <c r="C111" s="25"/>
      <c r="D111" s="25"/>
      <c r="E111" s="25"/>
      <c r="F111" s="25"/>
      <c r="G111" s="25"/>
      <c r="H111" s="25"/>
    </row>
    <row r="112" spans="1:8" hidden="1" x14ac:dyDescent="0.3">
      <c r="A112" s="25"/>
      <c r="B112" s="25"/>
      <c r="C112" s="25"/>
      <c r="D112" s="25"/>
      <c r="E112" s="25"/>
      <c r="F112" s="25"/>
      <c r="G112" s="25"/>
      <c r="H112" s="25"/>
    </row>
    <row r="113" spans="1:8" hidden="1" x14ac:dyDescent="0.3">
      <c r="A113" s="25"/>
      <c r="B113" s="25"/>
      <c r="C113" s="25"/>
      <c r="D113" s="25"/>
      <c r="E113" s="25"/>
      <c r="F113" s="25"/>
      <c r="G113" s="25"/>
      <c r="H113" s="25"/>
    </row>
    <row r="114" spans="1:8" hidden="1" x14ac:dyDescent="0.3">
      <c r="A114" s="25"/>
      <c r="B114" s="25"/>
      <c r="C114" s="25"/>
      <c r="D114" s="25"/>
      <c r="E114" s="25"/>
      <c r="F114" s="25"/>
      <c r="G114" s="25"/>
      <c r="H114" s="25"/>
    </row>
    <row r="115" spans="1:8" hidden="1" x14ac:dyDescent="0.3">
      <c r="A115" s="25"/>
      <c r="B115" s="25"/>
      <c r="C115" s="25"/>
      <c r="D115" s="25"/>
      <c r="E115" s="25"/>
      <c r="F115" s="25"/>
      <c r="G115" s="25"/>
      <c r="H115" s="25"/>
    </row>
    <row r="116" spans="1:8" hidden="1" x14ac:dyDescent="0.3">
      <c r="A116" s="25"/>
      <c r="B116" s="25"/>
      <c r="C116" s="25"/>
      <c r="D116" s="25"/>
      <c r="E116" s="25"/>
      <c r="F116" s="25"/>
      <c r="G116" s="25"/>
      <c r="H116" s="25"/>
    </row>
    <row r="117" spans="1:8" hidden="1" x14ac:dyDescent="0.3">
      <c r="A117" s="25"/>
      <c r="B117" s="25"/>
      <c r="C117" s="25"/>
      <c r="D117" s="25"/>
      <c r="E117" s="25"/>
      <c r="F117" s="25"/>
      <c r="G117" s="25"/>
      <c r="H117" s="25"/>
    </row>
    <row r="118" spans="1:8" hidden="1" x14ac:dyDescent="0.3">
      <c r="A118" s="25"/>
      <c r="B118" s="25"/>
      <c r="C118" s="25"/>
      <c r="D118" s="25"/>
      <c r="E118" s="25"/>
      <c r="F118" s="25"/>
      <c r="G118" s="25"/>
      <c r="H118" s="25"/>
    </row>
    <row r="119" spans="1:8" hidden="1" x14ac:dyDescent="0.3">
      <c r="A119" s="25"/>
      <c r="B119" s="25"/>
      <c r="C119" s="25"/>
      <c r="D119" s="25"/>
      <c r="E119" s="25"/>
      <c r="F119" s="25"/>
      <c r="G119" s="25"/>
      <c r="H119" s="25"/>
    </row>
    <row r="120" spans="1:8" hidden="1" x14ac:dyDescent="0.3">
      <c r="A120" s="25"/>
      <c r="B120" s="25"/>
      <c r="C120" s="25"/>
      <c r="D120" s="25"/>
      <c r="E120" s="25"/>
      <c r="F120" s="25"/>
      <c r="G120" s="25"/>
      <c r="H120" s="25"/>
    </row>
    <row r="121" spans="1:8" hidden="1" x14ac:dyDescent="0.3">
      <c r="A121" s="25"/>
      <c r="B121" s="25"/>
      <c r="C121" s="25"/>
      <c r="D121" s="25"/>
      <c r="E121" s="25"/>
      <c r="F121" s="25"/>
      <c r="G121" s="25"/>
      <c r="H121" s="25"/>
    </row>
    <row r="122" spans="1:8" hidden="1" x14ac:dyDescent="0.3">
      <c r="A122" s="25"/>
      <c r="B122" s="25"/>
      <c r="C122" s="25"/>
      <c r="D122" s="25"/>
      <c r="E122" s="25"/>
      <c r="F122" s="25"/>
      <c r="G122" s="25"/>
      <c r="H122" s="25"/>
    </row>
    <row r="123" spans="1:8" hidden="1" x14ac:dyDescent="0.3">
      <c r="A123" s="25"/>
      <c r="B123" s="25"/>
      <c r="C123" s="25"/>
      <c r="D123" s="25"/>
      <c r="E123" s="25"/>
      <c r="F123" s="25"/>
      <c r="G123" s="25"/>
      <c r="H123" s="25"/>
    </row>
    <row r="124" spans="1:8" hidden="1" x14ac:dyDescent="0.3">
      <c r="A124" s="25"/>
      <c r="B124" s="25"/>
      <c r="C124" s="25"/>
      <c r="D124" s="25"/>
      <c r="E124" s="25"/>
      <c r="F124" s="25"/>
      <c r="G124" s="25"/>
      <c r="H124" s="25"/>
    </row>
    <row r="125" spans="1:8" hidden="1" x14ac:dyDescent="0.3">
      <c r="A125" s="25"/>
      <c r="B125" s="25"/>
      <c r="C125" s="25"/>
      <c r="D125" s="25"/>
      <c r="E125" s="25"/>
      <c r="F125" s="25"/>
      <c r="G125" s="25"/>
      <c r="H125" s="25"/>
    </row>
    <row r="126" spans="1:8" hidden="1" x14ac:dyDescent="0.3">
      <c r="A126" s="25"/>
      <c r="B126" s="25"/>
      <c r="C126" s="25"/>
      <c r="D126" s="25"/>
      <c r="E126" s="25"/>
      <c r="F126" s="25"/>
      <c r="G126" s="25"/>
      <c r="H126" s="25"/>
    </row>
    <row r="127" spans="1:8" hidden="1" x14ac:dyDescent="0.3">
      <c r="A127" s="25"/>
      <c r="B127" s="25"/>
      <c r="C127" s="25"/>
      <c r="D127" s="25"/>
      <c r="E127" s="25"/>
      <c r="F127" s="25"/>
      <c r="G127" s="25"/>
      <c r="H127" s="25"/>
    </row>
    <row r="128" spans="1:8" hidden="1" x14ac:dyDescent="0.3">
      <c r="A128" s="25"/>
      <c r="B128" s="25"/>
      <c r="C128" s="25"/>
      <c r="D128" s="25"/>
      <c r="E128" s="25"/>
      <c r="F128" s="25"/>
      <c r="G128" s="25"/>
      <c r="H128" s="25"/>
    </row>
    <row r="129" spans="1:8" hidden="1" x14ac:dyDescent="0.3">
      <c r="A129" s="25"/>
      <c r="B129" s="25"/>
      <c r="C129" s="25"/>
      <c r="D129" s="25"/>
      <c r="E129" s="25"/>
      <c r="F129" s="25"/>
      <c r="G129" s="25"/>
      <c r="H129" s="25"/>
    </row>
    <row r="130" spans="1:8" hidden="1" x14ac:dyDescent="0.3">
      <c r="A130" s="25"/>
      <c r="B130" s="25"/>
      <c r="C130" s="25"/>
      <c r="D130" s="25"/>
      <c r="E130" s="25"/>
      <c r="F130" s="25"/>
      <c r="G130" s="25"/>
      <c r="H130" s="25"/>
    </row>
    <row r="131" spans="1:8" hidden="1" x14ac:dyDescent="0.3">
      <c r="A131" s="25"/>
      <c r="B131" s="25"/>
      <c r="C131" s="25"/>
      <c r="D131" s="25"/>
      <c r="E131" s="25"/>
      <c r="F131" s="25"/>
      <c r="G131" s="25"/>
      <c r="H131" s="25"/>
    </row>
    <row r="132" spans="1:8" hidden="1" x14ac:dyDescent="0.3">
      <c r="A132" s="25"/>
      <c r="B132" s="25"/>
      <c r="C132" s="25"/>
      <c r="D132" s="25"/>
      <c r="E132" s="25"/>
      <c r="F132" s="25"/>
      <c r="G132" s="25"/>
      <c r="H132" s="25"/>
    </row>
    <row r="133" spans="1:8" hidden="1" x14ac:dyDescent="0.3">
      <c r="A133" s="25"/>
      <c r="B133" s="25"/>
      <c r="C133" s="25"/>
      <c r="D133" s="25"/>
      <c r="E133" s="25"/>
      <c r="F133" s="25"/>
      <c r="G133" s="25"/>
      <c r="H133" s="25"/>
    </row>
    <row r="134" spans="1:8" hidden="1" x14ac:dyDescent="0.3">
      <c r="A134" s="25"/>
      <c r="B134" s="25"/>
      <c r="C134" s="25"/>
      <c r="D134" s="25"/>
      <c r="E134" s="25"/>
      <c r="F134" s="25"/>
      <c r="G134" s="25"/>
      <c r="H134" s="25"/>
    </row>
    <row r="135" spans="1:8" hidden="1" x14ac:dyDescent="0.3">
      <c r="A135" s="25"/>
      <c r="B135" s="25"/>
      <c r="C135" s="25"/>
      <c r="D135" s="25"/>
      <c r="E135" s="25"/>
      <c r="F135" s="25"/>
      <c r="G135" s="25"/>
      <c r="H135" s="25"/>
    </row>
    <row r="136" spans="1:8" hidden="1" x14ac:dyDescent="0.3">
      <c r="A136" s="25"/>
      <c r="B136" s="25"/>
      <c r="C136" s="25"/>
      <c r="D136" s="25"/>
      <c r="E136" s="25"/>
      <c r="F136" s="25"/>
      <c r="G136" s="25"/>
      <c r="H136" s="25"/>
    </row>
    <row r="137" spans="1:8" hidden="1" x14ac:dyDescent="0.3">
      <c r="A137" s="25"/>
      <c r="B137" s="25"/>
      <c r="C137" s="25"/>
      <c r="D137" s="25"/>
      <c r="E137" s="25"/>
      <c r="F137" s="25"/>
      <c r="G137" s="25"/>
      <c r="H137" s="25"/>
    </row>
    <row r="138" spans="1:8" hidden="1" x14ac:dyDescent="0.3">
      <c r="A138" s="25"/>
      <c r="B138" s="25"/>
      <c r="C138" s="25"/>
      <c r="D138" s="25"/>
      <c r="E138" s="25"/>
      <c r="F138" s="25"/>
      <c r="G138" s="25"/>
      <c r="H138" s="25"/>
    </row>
    <row r="139" spans="1:8" hidden="1" x14ac:dyDescent="0.3">
      <c r="A139" s="25"/>
      <c r="B139" s="25"/>
      <c r="C139" s="25"/>
      <c r="D139" s="25"/>
      <c r="E139" s="25"/>
      <c r="F139" s="25"/>
      <c r="G139" s="25"/>
      <c r="H139" s="25"/>
    </row>
    <row r="140" spans="1:8" hidden="1" x14ac:dyDescent="0.3">
      <c r="A140" s="25"/>
      <c r="B140" s="25"/>
      <c r="C140" s="25"/>
      <c r="D140" s="25"/>
      <c r="E140" s="25"/>
      <c r="F140" s="25"/>
      <c r="G140" s="25"/>
      <c r="H140" s="25"/>
    </row>
    <row r="141" spans="1:8" hidden="1" x14ac:dyDescent="0.3">
      <c r="A141" s="25"/>
      <c r="B141" s="25"/>
      <c r="C141" s="25"/>
      <c r="D141" s="25"/>
      <c r="E141" s="25"/>
      <c r="F141" s="25"/>
      <c r="G141" s="25"/>
      <c r="H141" s="25"/>
    </row>
    <row r="142" spans="1:8" hidden="1" x14ac:dyDescent="0.3">
      <c r="A142" s="25"/>
      <c r="B142" s="25"/>
      <c r="C142" s="25"/>
      <c r="D142" s="25"/>
      <c r="E142" s="25"/>
      <c r="F142" s="25"/>
      <c r="G142" s="25"/>
      <c r="H142" s="25"/>
    </row>
    <row r="143" spans="1:8" hidden="1" x14ac:dyDescent="0.3">
      <c r="A143" s="25"/>
      <c r="B143" s="25"/>
      <c r="C143" s="25"/>
      <c r="D143" s="25"/>
      <c r="E143" s="25"/>
      <c r="F143" s="25"/>
      <c r="G143" s="25"/>
      <c r="H143" s="25"/>
    </row>
    <row r="144" spans="1:8" hidden="1" x14ac:dyDescent="0.3">
      <c r="A144" s="25"/>
      <c r="B144" s="25"/>
      <c r="C144" s="25"/>
      <c r="D144" s="25"/>
      <c r="E144" s="25"/>
      <c r="F144" s="25"/>
      <c r="G144" s="25"/>
      <c r="H144" s="25"/>
    </row>
    <row r="145" spans="1:8" hidden="1" x14ac:dyDescent="0.3">
      <c r="A145" s="25"/>
      <c r="B145" s="25"/>
      <c r="C145" s="25"/>
      <c r="D145" s="25"/>
      <c r="E145" s="25"/>
      <c r="F145" s="25"/>
      <c r="G145" s="25"/>
      <c r="H145" s="25"/>
    </row>
    <row r="146" spans="1:8" hidden="1" x14ac:dyDescent="0.3">
      <c r="A146" s="25"/>
      <c r="B146" s="25"/>
      <c r="C146" s="25"/>
      <c r="D146" s="25"/>
      <c r="E146" s="25"/>
      <c r="F146" s="25"/>
      <c r="G146" s="25"/>
      <c r="H146" s="25"/>
    </row>
    <row r="147" spans="1:8" hidden="1" x14ac:dyDescent="0.3">
      <c r="A147" s="25"/>
      <c r="B147" s="25"/>
      <c r="C147" s="25"/>
      <c r="D147" s="25"/>
      <c r="E147" s="25"/>
      <c r="F147" s="25"/>
      <c r="G147" s="25"/>
      <c r="H147" s="25"/>
    </row>
    <row r="148" spans="1:8" hidden="1" x14ac:dyDescent="0.3">
      <c r="A148" s="25"/>
      <c r="B148" s="25"/>
      <c r="C148" s="25"/>
      <c r="D148" s="25"/>
      <c r="E148" s="25"/>
      <c r="F148" s="25"/>
      <c r="G148" s="25"/>
      <c r="H148" s="25"/>
    </row>
    <row r="149" spans="1:8" hidden="1" x14ac:dyDescent="0.3">
      <c r="A149" s="25"/>
      <c r="B149" s="25"/>
      <c r="C149" s="25"/>
      <c r="D149" s="25"/>
      <c r="E149" s="25"/>
      <c r="F149" s="25"/>
      <c r="G149" s="25"/>
      <c r="H149" s="25"/>
    </row>
    <row r="150" spans="1:8" hidden="1" x14ac:dyDescent="0.3">
      <c r="A150" s="25"/>
      <c r="B150" s="25"/>
      <c r="C150" s="25"/>
      <c r="D150" s="25"/>
      <c r="E150" s="25"/>
      <c r="F150" s="25"/>
      <c r="G150" s="25"/>
      <c r="H150" s="25"/>
    </row>
    <row r="151" spans="1:8" hidden="1" x14ac:dyDescent="0.3">
      <c r="A151" s="25"/>
      <c r="B151" s="25"/>
      <c r="C151" s="25"/>
    </row>
    <row r="152" spans="1:8" hidden="1" x14ac:dyDescent="0.3">
      <c r="A152" s="25"/>
      <c r="B152" s="25"/>
      <c r="C152" s="25"/>
    </row>
    <row r="153" spans="1:8" hidden="1" x14ac:dyDescent="0.3">
      <c r="A153" s="25"/>
      <c r="B153" s="25"/>
      <c r="C153" s="25"/>
    </row>
    <row r="154" spans="1:8" hidden="1" x14ac:dyDescent="0.3">
      <c r="A154" s="25"/>
      <c r="B154" s="25"/>
      <c r="C154" s="25"/>
    </row>
    <row r="155" spans="1:8" hidden="1" x14ac:dyDescent="0.3">
      <c r="A155" s="25"/>
      <c r="B155" s="25"/>
      <c r="C155" s="25"/>
    </row>
    <row r="156" spans="1:8" hidden="1" x14ac:dyDescent="0.3">
      <c r="A156" s="25"/>
      <c r="B156" s="25"/>
      <c r="C156" s="25"/>
    </row>
    <row r="157" spans="1:8" hidden="1" x14ac:dyDescent="0.3">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Muhammad Usman Butt</cp:lastModifiedBy>
  <cp:revision/>
  <dcterms:created xsi:type="dcterms:W3CDTF">2020-09-14T13:04:31Z</dcterms:created>
  <dcterms:modified xsi:type="dcterms:W3CDTF">2024-09-27T09:41:51Z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